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autoCompressPictures="0"/>
  <mc:AlternateContent xmlns:mc="http://schemas.openxmlformats.org/markup-compatibility/2006">
    <mc:Choice Requires="x15">
      <x15ac:absPath xmlns:x15ac="http://schemas.microsoft.com/office/spreadsheetml/2010/11/ac" url="C:\Users\acasey\Documents\"/>
    </mc:Choice>
  </mc:AlternateContent>
  <bookViews>
    <workbookView xWindow="0" yWindow="0" windowWidth="20160" windowHeight="9048"/>
  </bookViews>
  <sheets>
    <sheet name="Summary" sheetId="3" r:id="rId1"/>
    <sheet name="Attendance, Revenue" sheetId="1" r:id="rId2"/>
    <sheet name="Expense Detail" sheetId="2" r:id="rId3"/>
    <sheet name="Beverage" sheetId="7" r:id="rId4"/>
    <sheet name="Registration Grid" sheetId="5" r:id="rId5"/>
  </sheets>
  <definedNames>
    <definedName name="_xlnm.Print_Area" localSheetId="1">'Attendance, Revenue'!$A$1:$L$73</definedName>
    <definedName name="_xlnm.Print_Area" localSheetId="2">'Expense Detail'!$A$7:$T$138</definedName>
    <definedName name="_xlnm.Print_Titles" localSheetId="1">'Attendance, Revenue'!$1:$6</definedName>
    <definedName name="_xlnm.Print_Titles" localSheetId="2">'Expense Detail'!$1:$6</definedName>
  </definedNames>
  <calcPr calcId="152511"/>
</workbook>
</file>

<file path=xl/calcChain.xml><?xml version="1.0" encoding="utf-8"?>
<calcChain xmlns="http://schemas.openxmlformats.org/spreadsheetml/2006/main">
  <c r="F53" i="5" l="1"/>
  <c r="V80" i="2" l="1"/>
  <c r="V86" i="2"/>
  <c r="V74" i="2"/>
  <c r="S47" i="2" l="1"/>
  <c r="S135" i="2" l="1"/>
  <c r="P109" i="2"/>
  <c r="W105" i="2" l="1"/>
  <c r="W97" i="2"/>
  <c r="W95" i="2"/>
  <c r="W87" i="2"/>
  <c r="W85" i="2"/>
  <c r="W83" i="2"/>
  <c r="W81" i="2"/>
  <c r="W79" i="2"/>
  <c r="W77" i="2"/>
  <c r="W75" i="2"/>
  <c r="W73" i="2"/>
  <c r="V98" i="2"/>
  <c r="V102" i="2"/>
  <c r="P57" i="2"/>
  <c r="V109" i="2"/>
  <c r="V84" i="2"/>
  <c r="V83" i="2"/>
  <c r="V106" i="2" l="1"/>
  <c r="V104" i="2"/>
  <c r="V93" i="2"/>
  <c r="W93" i="2" s="1"/>
  <c r="V91" i="2"/>
  <c r="W91" i="2" s="1"/>
  <c r="V89" i="2"/>
  <c r="W89" i="2" s="1"/>
  <c r="V88" i="2"/>
  <c r="V78" i="2"/>
  <c r="Q63" i="2"/>
  <c r="V76" i="2"/>
  <c r="V72" i="2"/>
  <c r="V99" i="2" l="1"/>
  <c r="W99" i="2" s="1"/>
  <c r="S110" i="2"/>
  <c r="V79" i="2" s="1"/>
  <c r="Q87" i="2"/>
  <c r="S8" i="2" l="1"/>
  <c r="S16" i="2" l="1"/>
  <c r="K65" i="1" l="1"/>
  <c r="K64" i="1"/>
  <c r="K62" i="1"/>
  <c r="K61" i="1"/>
  <c r="K63" i="1"/>
  <c r="D53" i="1"/>
  <c r="M136" i="2" l="1"/>
  <c r="S134" i="2"/>
  <c r="S132" i="2"/>
  <c r="S131" i="2"/>
  <c r="J60" i="7"/>
  <c r="J53" i="7"/>
  <c r="S136" i="2" s="1"/>
  <c r="J49" i="7"/>
  <c r="J48" i="7"/>
  <c r="J47" i="7"/>
  <c r="J51" i="7"/>
  <c r="J71" i="7" l="1"/>
  <c r="C53" i="1"/>
  <c r="B53" i="1"/>
  <c r="D54" i="1" l="1"/>
  <c r="C54" i="1"/>
  <c r="B54" i="1"/>
  <c r="D57" i="1" l="1"/>
  <c r="H57" i="1"/>
  <c r="C57" i="1"/>
  <c r="D58" i="1"/>
  <c r="D56" i="1"/>
  <c r="D55" i="1"/>
  <c r="C56" i="1"/>
  <c r="C55" i="1"/>
  <c r="C58" i="1"/>
  <c r="B57" i="1"/>
  <c r="B56" i="1"/>
  <c r="B55" i="1"/>
  <c r="R19" i="2"/>
  <c r="Q19" i="2" s="1"/>
  <c r="Q21" i="2"/>
  <c r="S127" i="2" l="1"/>
  <c r="S125" i="2"/>
  <c r="V85" i="2" s="1"/>
  <c r="S120" i="2"/>
  <c r="S115" i="2"/>
  <c r="S114" i="2"/>
  <c r="S113" i="2"/>
  <c r="R112" i="2"/>
  <c r="S112" i="2" s="1"/>
  <c r="S105" i="2"/>
  <c r="S104" i="2"/>
  <c r="S106" i="2" s="1"/>
  <c r="S101" i="2"/>
  <c r="S99" i="2"/>
  <c r="S98" i="2"/>
  <c r="R97" i="2"/>
  <c r="S97" i="2" s="1"/>
  <c r="S96" i="2"/>
  <c r="S93" i="2"/>
  <c r="R89" i="2"/>
  <c r="S89" i="2" s="1"/>
  <c r="S87" i="2"/>
  <c r="V81" i="2" s="1"/>
  <c r="S85" i="2"/>
  <c r="S84" i="2"/>
  <c r="S83" i="2"/>
  <c r="R82" i="2"/>
  <c r="S82" i="2" s="1"/>
  <c r="S77" i="2"/>
  <c r="S76" i="2"/>
  <c r="R75" i="2"/>
  <c r="S75" i="2" s="1"/>
  <c r="S72" i="2"/>
  <c r="R68" i="2"/>
  <c r="S68" i="2" s="1"/>
  <c r="S66" i="2"/>
  <c r="V73" i="2" s="1"/>
  <c r="S65" i="2"/>
  <c r="S64" i="2"/>
  <c r="R63" i="2"/>
  <c r="S63" i="2" s="1"/>
  <c r="V75" i="2" s="1"/>
  <c r="S62" i="2"/>
  <c r="R61" i="2"/>
  <c r="S61" i="2" s="1"/>
  <c r="S57" i="2"/>
  <c r="V97" i="2" s="1"/>
  <c r="S55" i="2"/>
  <c r="T53" i="2" s="1"/>
  <c r="S54" i="2"/>
  <c r="S51" i="2"/>
  <c r="S49" i="2"/>
  <c r="P46" i="2"/>
  <c r="T45" i="2" s="1"/>
  <c r="Q43" i="2"/>
  <c r="P28" i="2"/>
  <c r="J28" i="2"/>
  <c r="S31" i="2"/>
  <c r="S30" i="2"/>
  <c r="P30" i="2" s="1"/>
  <c r="S29" i="2"/>
  <c r="P29" i="2" s="1"/>
  <c r="S28" i="2"/>
  <c r="S27" i="2"/>
  <c r="P27" i="2" s="1"/>
  <c r="M30" i="2"/>
  <c r="J30" i="2" s="1"/>
  <c r="M29" i="2"/>
  <c r="J29" i="2" s="1"/>
  <c r="M28" i="2"/>
  <c r="M27" i="2"/>
  <c r="J27" i="2" s="1"/>
  <c r="R21" i="2"/>
  <c r="S100" i="2" l="1"/>
  <c r="V87" i="2"/>
  <c r="T118" i="2"/>
  <c r="T81" i="2"/>
  <c r="S108" i="2"/>
  <c r="T103" i="2" s="1"/>
  <c r="V77" i="2" s="1"/>
  <c r="T60" i="2"/>
  <c r="H54" i="1" l="1"/>
  <c r="I54" i="1" s="1"/>
  <c r="G54" i="1"/>
  <c r="H53" i="1"/>
  <c r="I53" i="1" s="1"/>
  <c r="B1" i="3"/>
  <c r="L84" i="2" l="1"/>
  <c r="L77" i="2"/>
  <c r="L63" i="2"/>
  <c r="A46" i="1"/>
  <c r="D31" i="1"/>
  <c r="D24" i="5" l="1"/>
  <c r="K31" i="1" l="1"/>
  <c r="P27" i="1"/>
  <c r="B37" i="1" l="1"/>
  <c r="R42" i="1"/>
  <c r="Z42" i="1" l="1"/>
  <c r="I105" i="2" l="1"/>
  <c r="D25" i="5"/>
  <c r="I113" i="2" s="1"/>
  <c r="S31" i="1" s="1"/>
  <c r="D23" i="5"/>
  <c r="I98" i="2" s="1"/>
  <c r="Q31" i="1" s="1"/>
  <c r="D21" i="5"/>
  <c r="I85" i="2" s="1"/>
  <c r="P31" i="1" s="1"/>
  <c r="D20" i="5"/>
  <c r="I76" i="2" s="1"/>
  <c r="O31" i="1" s="1"/>
  <c r="D17" i="5"/>
  <c r="I62" i="2" s="1"/>
  <c r="N31" i="1" s="1"/>
  <c r="R31" i="1" l="1"/>
  <c r="H60" i="7"/>
  <c r="H53" i="7" s="1"/>
  <c r="H49" i="7"/>
  <c r="H15" i="7"/>
  <c r="G15" i="7"/>
  <c r="M128" i="2" l="1"/>
  <c r="M127" i="2"/>
  <c r="M125" i="2"/>
  <c r="M123" i="2"/>
  <c r="N122" i="2" s="1"/>
  <c r="C18" i="3" s="1"/>
  <c r="M120" i="2"/>
  <c r="J119" i="2"/>
  <c r="M119" i="2"/>
  <c r="M118" i="2"/>
  <c r="N118" i="2"/>
  <c r="J118" i="2"/>
  <c r="M116" i="2"/>
  <c r="M115" i="2" s="1"/>
  <c r="L112" i="2"/>
  <c r="M112" i="2" s="1"/>
  <c r="M110" i="2"/>
  <c r="M109" i="2"/>
  <c r="K109" i="2"/>
  <c r="M104" i="2"/>
  <c r="M101" i="2"/>
  <c r="L97" i="2"/>
  <c r="M97" i="2" s="1"/>
  <c r="M96" i="2"/>
  <c r="M93" i="2"/>
  <c r="L89" i="2"/>
  <c r="M89" i="2" s="1"/>
  <c r="M87" i="2"/>
  <c r="J86" i="2"/>
  <c r="M86" i="2"/>
  <c r="M85" i="2" s="1"/>
  <c r="L82" i="2"/>
  <c r="M82" i="2" s="1"/>
  <c r="M79" i="2"/>
  <c r="L75" i="2"/>
  <c r="M75" i="2" s="1"/>
  <c r="M72" i="2"/>
  <c r="L68" i="2"/>
  <c r="M68" i="2" s="1"/>
  <c r="M66" i="2"/>
  <c r="M65" i="2"/>
  <c r="J65" i="2"/>
  <c r="M64" i="2"/>
  <c r="L61" i="2"/>
  <c r="M61" i="2" s="1"/>
  <c r="M57" i="2"/>
  <c r="M56" i="2"/>
  <c r="M55" i="2"/>
  <c r="M54" i="2"/>
  <c r="M51" i="2"/>
  <c r="M50" i="2"/>
  <c r="M49" i="2"/>
  <c r="M48" i="2"/>
  <c r="M47" i="2"/>
  <c r="J46" i="2"/>
  <c r="M46" i="2"/>
  <c r="N45" i="2" s="1"/>
  <c r="M43" i="2"/>
  <c r="J43" i="2"/>
  <c r="M42" i="2"/>
  <c r="N41" i="2" s="1"/>
  <c r="M34" i="2"/>
  <c r="M31" i="2"/>
  <c r="J138" i="2"/>
  <c r="L13" i="2"/>
  <c r="M13" i="2" s="1"/>
  <c r="L10" i="2"/>
  <c r="L11" i="2" s="1"/>
  <c r="M9" i="2"/>
  <c r="M8" i="2"/>
  <c r="L1" i="2"/>
  <c r="G32" i="1"/>
  <c r="H32" i="1"/>
  <c r="I32" i="1"/>
  <c r="H31" i="1"/>
  <c r="I31" i="1"/>
  <c r="D119" i="2"/>
  <c r="F20" i="2"/>
  <c r="G20" i="2" s="1"/>
  <c r="F19" i="2"/>
  <c r="G19" i="2" s="1"/>
  <c r="G57" i="2"/>
  <c r="G56" i="2"/>
  <c r="G55" i="2"/>
  <c r="G54" i="2"/>
  <c r="H53" i="2"/>
  <c r="D27" i="2"/>
  <c r="B25" i="3"/>
  <c r="H130" i="2"/>
  <c r="B19" i="3"/>
  <c r="G123" i="2"/>
  <c r="G125" i="2"/>
  <c r="H122" i="2" s="1"/>
  <c r="B18" i="3" s="1"/>
  <c r="G127" i="2"/>
  <c r="G128" i="2"/>
  <c r="X61" i="2"/>
  <c r="Y59" i="2"/>
  <c r="Y65" i="2" s="1"/>
  <c r="B90" i="2" s="1"/>
  <c r="G64" i="2"/>
  <c r="D65" i="2"/>
  <c r="G65" i="2"/>
  <c r="G66" i="2"/>
  <c r="X62" i="2"/>
  <c r="Y62" i="2" s="1"/>
  <c r="B69" i="2" s="1"/>
  <c r="L70" i="2" s="1"/>
  <c r="G72" i="2"/>
  <c r="X63" i="2"/>
  <c r="G79" i="2"/>
  <c r="X64" i="2"/>
  <c r="D86" i="2"/>
  <c r="G86" i="2"/>
  <c r="G85" i="2" s="1"/>
  <c r="G87" i="2"/>
  <c r="X65" i="2"/>
  <c r="G93" i="2"/>
  <c r="G96" i="2"/>
  <c r="X66" i="2"/>
  <c r="G101" i="2"/>
  <c r="G104" i="2"/>
  <c r="G109" i="2"/>
  <c r="G110" i="2"/>
  <c r="X68" i="2"/>
  <c r="G116" i="2"/>
  <c r="G115" i="2" s="1"/>
  <c r="D118" i="2"/>
  <c r="G118" i="2" s="1"/>
  <c r="H118" i="2" s="1"/>
  <c r="G119" i="2"/>
  <c r="G120" i="2"/>
  <c r="G42" i="2"/>
  <c r="D43" i="2"/>
  <c r="G43" i="2" s="1"/>
  <c r="D46" i="2"/>
  <c r="G46" i="2" s="1"/>
  <c r="H45" i="2" s="1"/>
  <c r="G47" i="2"/>
  <c r="G48" i="2"/>
  <c r="G49" i="2"/>
  <c r="G50" i="2"/>
  <c r="G51" i="2"/>
  <c r="G27" i="2"/>
  <c r="H26" i="2" s="1"/>
  <c r="D28" i="2"/>
  <c r="G28" i="2"/>
  <c r="D29" i="2"/>
  <c r="G29" i="2"/>
  <c r="D30" i="2"/>
  <c r="G30" i="2"/>
  <c r="G31" i="2"/>
  <c r="G34" i="2"/>
  <c r="F37" i="2"/>
  <c r="G37" i="2" s="1"/>
  <c r="G21" i="2"/>
  <c r="G8" i="2"/>
  <c r="G9" i="2"/>
  <c r="X67" i="2"/>
  <c r="Y67" i="2"/>
  <c r="E109" i="2"/>
  <c r="L19" i="3"/>
  <c r="K18" i="3"/>
  <c r="L18" i="3"/>
  <c r="L17" i="3"/>
  <c r="L16" i="3"/>
  <c r="L15" i="3"/>
  <c r="L14" i="3"/>
  <c r="L13" i="3"/>
  <c r="L12" i="3"/>
  <c r="L9" i="3"/>
  <c r="L20" i="3"/>
  <c r="L22" i="3"/>
  <c r="K20" i="3"/>
  <c r="K22" i="3"/>
  <c r="E12" i="1"/>
  <c r="E11" i="1"/>
  <c r="C11" i="1"/>
  <c r="E10" i="1"/>
  <c r="C19" i="1"/>
  <c r="D9" i="1"/>
  <c r="C9" i="1"/>
  <c r="B9" i="1"/>
  <c r="Q26" i="1"/>
  <c r="Q25" i="1"/>
  <c r="Q24" i="1"/>
  <c r="Q23" i="1"/>
  <c r="Q22" i="1"/>
  <c r="Q21" i="1"/>
  <c r="Q20" i="1"/>
  <c r="P26" i="1"/>
  <c r="O26" i="1"/>
  <c r="N26" i="1"/>
  <c r="Q15" i="1"/>
  <c r="Q14" i="1"/>
  <c r="Q13" i="1"/>
  <c r="Q12" i="1"/>
  <c r="Q11" i="1"/>
  <c r="Q10" i="1"/>
  <c r="Q9" i="1"/>
  <c r="P15" i="1"/>
  <c r="O15" i="1"/>
  <c r="N15" i="1"/>
  <c r="S43" i="2"/>
  <c r="S42" i="2"/>
  <c r="R13" i="2"/>
  <c r="S13" i="2" s="1"/>
  <c r="S9" i="2"/>
  <c r="S35" i="2"/>
  <c r="S37" i="2"/>
  <c r="T130" i="2"/>
  <c r="S123" i="2"/>
  <c r="T122" i="2"/>
  <c r="D18" i="3" s="1"/>
  <c r="R12" i="2"/>
  <c r="S12" i="2" s="1"/>
  <c r="S34" i="2"/>
  <c r="T26" i="2"/>
  <c r="R1" i="2"/>
  <c r="A52" i="1"/>
  <c r="A30" i="1"/>
  <c r="F1" i="2"/>
  <c r="A8" i="1"/>
  <c r="S25" i="2"/>
  <c r="T24" i="2" s="1"/>
  <c r="C18" i="1"/>
  <c r="B14" i="1"/>
  <c r="D14" i="1"/>
  <c r="K13" i="1"/>
  <c r="C20" i="1"/>
  <c r="B20" i="1"/>
  <c r="G10" i="1"/>
  <c r="H10" i="1"/>
  <c r="I10" i="1"/>
  <c r="I9" i="1"/>
  <c r="H9" i="1"/>
  <c r="A19" i="3"/>
  <c r="A18" i="3"/>
  <c r="A17" i="3"/>
  <c r="A16" i="3"/>
  <c r="A15" i="3"/>
  <c r="A14" i="3"/>
  <c r="A13" i="3"/>
  <c r="A12" i="3"/>
  <c r="C14" i="1"/>
  <c r="K14" i="1"/>
  <c r="T74" i="2"/>
  <c r="T95" i="2"/>
  <c r="S21" i="2"/>
  <c r="V95" i="2" s="1"/>
  <c r="S20" i="2"/>
  <c r="S19" i="2"/>
  <c r="V105" i="2" s="1"/>
  <c r="S36" i="2"/>
  <c r="D138" i="2"/>
  <c r="T111" i="2"/>
  <c r="C21" i="1"/>
  <c r="F10" i="2"/>
  <c r="G10" i="2" s="1"/>
  <c r="D12" i="1"/>
  <c r="F105" i="2"/>
  <c r="G105" i="2" s="1"/>
  <c r="B11" i="1"/>
  <c r="B12" i="1"/>
  <c r="K12" i="1"/>
  <c r="K9" i="1"/>
  <c r="C12" i="1"/>
  <c r="E15" i="1"/>
  <c r="D10" i="1"/>
  <c r="D11" i="1"/>
  <c r="K11" i="1"/>
  <c r="F13" i="2"/>
  <c r="G13" i="2" s="1"/>
  <c r="F36" i="2"/>
  <c r="G36" i="2" s="1"/>
  <c r="F25" i="2"/>
  <c r="G25" i="2" s="1"/>
  <c r="H24" i="2" s="1"/>
  <c r="B10" i="1"/>
  <c r="B19" i="1"/>
  <c r="B21" i="1"/>
  <c r="F35" i="2"/>
  <c r="G35" i="2" s="1"/>
  <c r="C10" i="1"/>
  <c r="C15" i="1"/>
  <c r="P138" i="2"/>
  <c r="D15" i="1"/>
  <c r="B15" i="1"/>
  <c r="K10" i="1"/>
  <c r="K15" i="1"/>
  <c r="B27" i="3"/>
  <c r="B26" i="3" s="1"/>
  <c r="B9" i="3"/>
  <c r="G16" i="2"/>
  <c r="H15" i="2" s="1"/>
  <c r="B13" i="3" s="1"/>
  <c r="F11" i="2" l="1"/>
  <c r="F12" i="2" s="1"/>
  <c r="G12" i="2" s="1"/>
  <c r="Y66" i="2"/>
  <c r="B98" i="2" s="1"/>
  <c r="V71" i="2"/>
  <c r="W71" i="2" s="1"/>
  <c r="F18" i="3"/>
  <c r="H41" i="2"/>
  <c r="H40" i="2" s="1"/>
  <c r="B16" i="3" s="1"/>
  <c r="D19" i="3"/>
  <c r="V101" i="2"/>
  <c r="Y61" i="2"/>
  <c r="B62" i="2" s="1"/>
  <c r="F63" i="2" s="1"/>
  <c r="G63" i="2" s="1"/>
  <c r="N53" i="2"/>
  <c r="N40" i="2" s="1"/>
  <c r="C16" i="3" s="1"/>
  <c r="F16" i="3" s="1"/>
  <c r="G18" i="3"/>
  <c r="Q42" i="1"/>
  <c r="F98" i="2"/>
  <c r="G98" i="2" s="1"/>
  <c r="H33" i="2"/>
  <c r="H23" i="2" s="1"/>
  <c r="B15" i="3" s="1"/>
  <c r="Y64" i="2"/>
  <c r="Y63" i="2"/>
  <c r="B76" i="2" s="1"/>
  <c r="F75" i="2" s="1"/>
  <c r="G75" i="2" s="1"/>
  <c r="Y68" i="2"/>
  <c r="B113" i="2" s="1"/>
  <c r="F113" i="2" s="1"/>
  <c r="G113" i="2" s="1"/>
  <c r="H18" i="2"/>
  <c r="B14" i="3" s="1"/>
  <c r="G106" i="2"/>
  <c r="G108" i="2"/>
  <c r="F97" i="2"/>
  <c r="G97" i="2" s="1"/>
  <c r="F99" i="2"/>
  <c r="G99" i="2" s="1"/>
  <c r="G11" i="2"/>
  <c r="H7" i="2" s="1"/>
  <c r="B12" i="3" s="1"/>
  <c r="T41" i="2"/>
  <c r="T40" i="2" s="1"/>
  <c r="D16" i="3" s="1"/>
  <c r="T33" i="2"/>
  <c r="N26" i="2"/>
  <c r="T7" i="2"/>
  <c r="V103" i="2" s="1"/>
  <c r="W103" i="2" s="1"/>
  <c r="F61" i="2"/>
  <c r="G61" i="2" s="1"/>
  <c r="F69" i="2"/>
  <c r="G69" i="2" s="1"/>
  <c r="F68" i="2"/>
  <c r="G68" i="2" s="1"/>
  <c r="F70" i="2"/>
  <c r="G70" i="2" s="1"/>
  <c r="F77" i="2"/>
  <c r="G77" i="2" s="1"/>
  <c r="F76" i="2"/>
  <c r="G76" i="2" s="1"/>
  <c r="F89" i="2"/>
  <c r="G89" i="2" s="1"/>
  <c r="F90" i="2"/>
  <c r="G90" i="2" s="1"/>
  <c r="F91" i="2"/>
  <c r="G91" i="2" s="1"/>
  <c r="L12" i="2"/>
  <c r="M12" i="2" s="1"/>
  <c r="M11" i="2"/>
  <c r="M10" i="2"/>
  <c r="T23" i="2"/>
  <c r="D15" i="3" s="1"/>
  <c r="K32" i="1"/>
  <c r="B58" i="1"/>
  <c r="T18" i="2"/>
  <c r="D14" i="3" s="1"/>
  <c r="N42" i="1" l="1"/>
  <c r="F112" i="2"/>
  <c r="G112" i="2" s="1"/>
  <c r="O42" i="1"/>
  <c r="F62" i="2"/>
  <c r="G62" i="2" s="1"/>
  <c r="F114" i="2"/>
  <c r="G114" i="2" s="1"/>
  <c r="H111" i="2" s="1"/>
  <c r="N7" i="2"/>
  <c r="C12" i="3" s="1"/>
  <c r="S42" i="1"/>
  <c r="G100" i="2"/>
  <c r="H95" i="2" s="1"/>
  <c r="V108" i="2"/>
  <c r="W108" i="2" s="1"/>
  <c r="W101" i="2"/>
  <c r="G16" i="3"/>
  <c r="H103" i="2"/>
  <c r="B83" i="2"/>
  <c r="B85" i="2"/>
  <c r="H60" i="2"/>
  <c r="F12" i="3"/>
  <c r="D12" i="3"/>
  <c r="G12" i="3" s="1"/>
  <c r="H88" i="2"/>
  <c r="H67" i="2"/>
  <c r="H74" i="2"/>
  <c r="K55" i="1"/>
  <c r="K33" i="1"/>
  <c r="K58" i="1"/>
  <c r="E58" i="1"/>
  <c r="E35" i="1"/>
  <c r="K35" i="1"/>
  <c r="E33" i="1"/>
  <c r="E31" i="1"/>
  <c r="F84" i="2" l="1"/>
  <c r="G84" i="2" s="1"/>
  <c r="P42" i="1"/>
  <c r="F82" i="2"/>
  <c r="G82" i="2" s="1"/>
  <c r="F83" i="2"/>
  <c r="G83" i="2" s="1"/>
  <c r="H81" i="2" s="1"/>
  <c r="H59" i="2" s="1"/>
  <c r="L37" i="2"/>
  <c r="M37" i="2" s="1"/>
  <c r="E55" i="1"/>
  <c r="B64" i="1" s="1"/>
  <c r="K56" i="1"/>
  <c r="K34" i="1"/>
  <c r="O44" i="1"/>
  <c r="N44" i="1"/>
  <c r="S44" i="1"/>
  <c r="Q44" i="1"/>
  <c r="AA44" i="1"/>
  <c r="P44" i="1"/>
  <c r="Y44" i="1"/>
  <c r="X44" i="1"/>
  <c r="W44" i="1"/>
  <c r="V44" i="1"/>
  <c r="P33" i="1"/>
  <c r="Q33" i="1"/>
  <c r="O33" i="1"/>
  <c r="S33" i="1"/>
  <c r="N33" i="1"/>
  <c r="E32" i="1"/>
  <c r="L35" i="2"/>
  <c r="M35" i="2" s="1"/>
  <c r="K36" i="1"/>
  <c r="E36" i="1"/>
  <c r="B40" i="1" s="1"/>
  <c r="E57" i="1"/>
  <c r="K57" i="1"/>
  <c r="D37" i="1"/>
  <c r="E34" i="1"/>
  <c r="L69" i="2" s="1"/>
  <c r="S69" i="2" s="1"/>
  <c r="E54" i="1"/>
  <c r="B63" i="1" s="1"/>
  <c r="K54" i="1"/>
  <c r="B59" i="1"/>
  <c r="E56" i="1"/>
  <c r="C59" i="1"/>
  <c r="K53" i="1"/>
  <c r="E53" i="1"/>
  <c r="C37" i="1"/>
  <c r="B17" i="3" l="1"/>
  <c r="B20" i="3" s="1"/>
  <c r="B22" i="3" s="1"/>
  <c r="H138" i="2"/>
  <c r="F138" i="2" s="1"/>
  <c r="B62" i="1"/>
  <c r="D25" i="3"/>
  <c r="B42" i="1"/>
  <c r="B41" i="1"/>
  <c r="C41" i="1" s="1"/>
  <c r="L25" i="2"/>
  <c r="M25" i="2" s="1"/>
  <c r="N24" i="2" s="1"/>
  <c r="D59" i="1"/>
  <c r="Z43" i="1"/>
  <c r="Z48" i="1" s="1"/>
  <c r="Q43" i="1"/>
  <c r="R32" i="1"/>
  <c r="R37" i="1" s="1"/>
  <c r="Y43" i="1"/>
  <c r="S32" i="1"/>
  <c r="N43" i="1"/>
  <c r="Q32" i="1"/>
  <c r="P43" i="1"/>
  <c r="N32" i="1"/>
  <c r="M19" i="2"/>
  <c r="X43" i="1"/>
  <c r="S43" i="1"/>
  <c r="P32" i="1"/>
  <c r="V43" i="1"/>
  <c r="O43" i="1"/>
  <c r="O32" i="1"/>
  <c r="W43" i="1"/>
  <c r="AA43" i="1"/>
  <c r="R43" i="1"/>
  <c r="R48" i="1" s="1"/>
  <c r="W45" i="1"/>
  <c r="V45" i="1"/>
  <c r="P45" i="1"/>
  <c r="N45" i="1"/>
  <c r="Q45" i="1"/>
  <c r="S45" i="1"/>
  <c r="O45" i="1"/>
  <c r="AA45" i="1"/>
  <c r="X45" i="1"/>
  <c r="Y45" i="1"/>
  <c r="P34" i="1"/>
  <c r="N34" i="1"/>
  <c r="Q34" i="1"/>
  <c r="O34" i="1"/>
  <c r="S34" i="1"/>
  <c r="C42" i="1"/>
  <c r="M83" i="2"/>
  <c r="M62" i="2"/>
  <c r="M76" i="2"/>
  <c r="M113" i="2"/>
  <c r="M98" i="2"/>
  <c r="M63" i="2"/>
  <c r="M84" i="2"/>
  <c r="M77" i="2"/>
  <c r="K37" i="1"/>
  <c r="C9" i="3" s="1"/>
  <c r="E37" i="1"/>
  <c r="L91" i="2"/>
  <c r="M20" i="2"/>
  <c r="M69" i="2"/>
  <c r="L36" i="2"/>
  <c r="M36" i="2" s="1"/>
  <c r="N33" i="2" s="1"/>
  <c r="L90" i="2"/>
  <c r="C25" i="3"/>
  <c r="C40" i="1"/>
  <c r="E59" i="1"/>
  <c r="T137" i="2"/>
  <c r="K59" i="1"/>
  <c r="T15" i="2" s="1"/>
  <c r="C62" i="1" l="1"/>
  <c r="O48" i="1"/>
  <c r="C64" i="1"/>
  <c r="M90" i="2"/>
  <c r="S90" i="2"/>
  <c r="B65" i="1"/>
  <c r="D27" i="3" s="1"/>
  <c r="H12" i="3" s="1"/>
  <c r="M91" i="2"/>
  <c r="S91" i="2"/>
  <c r="D13" i="3"/>
  <c r="C63" i="1"/>
  <c r="M70" i="2"/>
  <c r="N67" i="2" s="1"/>
  <c r="S70" i="2"/>
  <c r="T67" i="2" s="1"/>
  <c r="D9" i="3"/>
  <c r="X48" i="1"/>
  <c r="AA48" i="1"/>
  <c r="M21" i="2"/>
  <c r="N18" i="2" s="1"/>
  <c r="C14" i="3" s="1"/>
  <c r="G14" i="3" s="1"/>
  <c r="N48" i="1"/>
  <c r="N37" i="1"/>
  <c r="V48" i="1"/>
  <c r="Q37" i="1"/>
  <c r="Q48" i="1"/>
  <c r="S37" i="1"/>
  <c r="P37" i="1"/>
  <c r="P48" i="1"/>
  <c r="Y48" i="1"/>
  <c r="S48" i="1"/>
  <c r="W48" i="1"/>
  <c r="O37" i="1"/>
  <c r="A3" i="7"/>
  <c r="G3" i="7" s="1"/>
  <c r="N23" i="2"/>
  <c r="C15" i="3" s="1"/>
  <c r="M16" i="2"/>
  <c r="N15" i="2" s="1"/>
  <c r="C13" i="3" s="1"/>
  <c r="A21" i="7"/>
  <c r="G24" i="7" s="1"/>
  <c r="W22" i="7" s="1"/>
  <c r="H24" i="7" s="1"/>
  <c r="A9" i="7"/>
  <c r="G10" i="7" s="1"/>
  <c r="N81" i="2"/>
  <c r="N74" i="2"/>
  <c r="M99" i="2"/>
  <c r="M100" i="2" s="1"/>
  <c r="N95" i="2" s="1"/>
  <c r="A27" i="7"/>
  <c r="N60" i="2"/>
  <c r="M105" i="2"/>
  <c r="A33" i="7"/>
  <c r="M114" i="2"/>
  <c r="N111" i="2" s="1"/>
  <c r="A39" i="7"/>
  <c r="B43" i="1"/>
  <c r="C27" i="3" s="1"/>
  <c r="F9" i="3"/>
  <c r="C43" i="1"/>
  <c r="N88" i="2" l="1"/>
  <c r="C65" i="1"/>
  <c r="H15" i="3"/>
  <c r="H14" i="3"/>
  <c r="D26" i="3"/>
  <c r="H16" i="3"/>
  <c r="H19" i="3"/>
  <c r="H18" i="3"/>
  <c r="H13" i="3"/>
  <c r="T88" i="2"/>
  <c r="T59" i="2" s="1"/>
  <c r="H9" i="3"/>
  <c r="G9" i="3"/>
  <c r="F15" i="3"/>
  <c r="G15" i="3"/>
  <c r="G4" i="7"/>
  <c r="O4" i="7" s="1"/>
  <c r="F14" i="3"/>
  <c r="G6" i="7"/>
  <c r="W4" i="7" s="1"/>
  <c r="H6" i="7" s="1"/>
  <c r="G7" i="7"/>
  <c r="G5" i="7"/>
  <c r="S3" i="7" s="1"/>
  <c r="G23" i="7"/>
  <c r="S21" i="7" s="1"/>
  <c r="G12" i="7"/>
  <c r="W10" i="7" s="1"/>
  <c r="H12" i="7" s="1"/>
  <c r="G25" i="7"/>
  <c r="G21" i="7"/>
  <c r="K21" i="7" s="1"/>
  <c r="G13" i="7"/>
  <c r="G22" i="7"/>
  <c r="O23" i="7" s="1"/>
  <c r="G9" i="7"/>
  <c r="K9" i="7" s="1"/>
  <c r="G11" i="7"/>
  <c r="S9" i="7" s="1"/>
  <c r="G29" i="7"/>
  <c r="G31" i="7"/>
  <c r="G30" i="7"/>
  <c r="W28" i="7" s="1"/>
  <c r="H30" i="7" s="1"/>
  <c r="G27" i="7"/>
  <c r="G28" i="7"/>
  <c r="G35" i="7"/>
  <c r="G37" i="7"/>
  <c r="G33" i="7"/>
  <c r="G36" i="7"/>
  <c r="W34" i="7" s="1"/>
  <c r="H36" i="7" s="1"/>
  <c r="G34" i="7"/>
  <c r="C26" i="3"/>
  <c r="O11" i="7"/>
  <c r="O10" i="7"/>
  <c r="O9" i="7"/>
  <c r="G41" i="7"/>
  <c r="G39" i="7"/>
  <c r="G43" i="7"/>
  <c r="G40" i="7"/>
  <c r="G42" i="7"/>
  <c r="W40" i="7" s="1"/>
  <c r="H42" i="7" s="1"/>
  <c r="K4" i="7"/>
  <c r="K39" i="7"/>
  <c r="H39" i="7" s="1"/>
  <c r="K3" i="7"/>
  <c r="M108" i="2"/>
  <c r="M106" i="2"/>
  <c r="F13" i="3"/>
  <c r="G13" i="3"/>
  <c r="D17" i="3" l="1"/>
  <c r="T138" i="2"/>
  <c r="R138" i="2" s="1"/>
  <c r="O3" i="7"/>
  <c r="K22" i="7"/>
  <c r="H21" i="7" s="1"/>
  <c r="O5" i="7"/>
  <c r="S4" i="7"/>
  <c r="H5" i="7" s="1"/>
  <c r="S22" i="7"/>
  <c r="H23" i="7" s="1"/>
  <c r="O22" i="7"/>
  <c r="O21" i="7"/>
  <c r="K10" i="7"/>
  <c r="H9" i="7" s="1"/>
  <c r="S10" i="7"/>
  <c r="H11" i="7" s="1"/>
  <c r="H48" i="7"/>
  <c r="M135" i="2" s="1"/>
  <c r="N103" i="2"/>
  <c r="N59" i="2" s="1"/>
  <c r="C17" i="3" s="1"/>
  <c r="S39" i="7"/>
  <c r="S40" i="7"/>
  <c r="O33" i="7"/>
  <c r="O35" i="7"/>
  <c r="O34" i="7"/>
  <c r="S34" i="7"/>
  <c r="S33" i="7"/>
  <c r="H3" i="7"/>
  <c r="O41" i="7"/>
  <c r="O40" i="7"/>
  <c r="O39" i="7"/>
  <c r="H10" i="7"/>
  <c r="O29" i="7"/>
  <c r="O28" i="7"/>
  <c r="O27" i="7"/>
  <c r="S27" i="7"/>
  <c r="S28" i="7"/>
  <c r="K33" i="7"/>
  <c r="K34" i="7"/>
  <c r="F55" i="7"/>
  <c r="K27" i="7"/>
  <c r="K28" i="7"/>
  <c r="H17" i="3" l="1"/>
  <c r="H20" i="3" s="1"/>
  <c r="D20" i="3"/>
  <c r="D22" i="3" s="1"/>
  <c r="H22" i="3" s="1"/>
  <c r="H4" i="7"/>
  <c r="H22" i="7"/>
  <c r="G17" i="3"/>
  <c r="F17" i="3"/>
  <c r="H40" i="7"/>
  <c r="H35" i="7"/>
  <c r="H28" i="7"/>
  <c r="H27" i="7"/>
  <c r="H33" i="7"/>
  <c r="H29" i="7"/>
  <c r="H34" i="7"/>
  <c r="H41" i="7"/>
  <c r="H45" i="7" l="1"/>
  <c r="M132" i="2" s="1"/>
  <c r="H46" i="7"/>
  <c r="M131" i="2" s="1"/>
  <c r="H47" i="7"/>
  <c r="M134" i="2" s="1"/>
  <c r="N130" i="2" l="1"/>
  <c r="N138" i="2" s="1"/>
  <c r="L138" i="2" s="1"/>
  <c r="H51" i="7"/>
  <c r="H71" i="7" s="1"/>
  <c r="C19" i="3" l="1"/>
  <c r="F19" i="3" l="1"/>
  <c r="C20" i="3"/>
  <c r="G19" i="3"/>
  <c r="G20" i="3" l="1"/>
  <c r="G22" i="3" s="1"/>
  <c r="C22" i="3"/>
  <c r="F20" i="3"/>
  <c r="F22" i="3" s="1"/>
</calcChain>
</file>

<file path=xl/sharedStrings.xml><?xml version="1.0" encoding="utf-8"?>
<sst xmlns="http://schemas.openxmlformats.org/spreadsheetml/2006/main" count="645" uniqueCount="357">
  <si>
    <t>Teens (13- 17)</t>
    <phoneticPr fontId="24" type="noConversion"/>
  </si>
  <si>
    <t>% of Total Inf/Kids/Teens:</t>
  </si>
  <si>
    <t>Adults/Teens (&gt;12)</t>
  </si>
  <si>
    <t>Staff/Trash/Tablecloths</t>
    <phoneticPr fontId="24" type="noConversion"/>
  </si>
  <si>
    <r>
      <t>1988 Reunion: Bud</t>
    </r>
    <r>
      <rPr>
        <b/>
        <sz val="14"/>
        <color indexed="8"/>
        <rFont val="Calibri"/>
        <family val="2"/>
      </rPr>
      <t>g</t>
    </r>
    <r>
      <rPr>
        <b/>
        <sz val="14"/>
        <color theme="1"/>
        <rFont val="Calibri"/>
        <family val="2"/>
        <scheme val="minor"/>
      </rPr>
      <t>et Summary</t>
    </r>
    <phoneticPr fontId="24" type="noConversion"/>
  </si>
  <si>
    <t>Early</t>
  </si>
  <si>
    <t>Regular</t>
  </si>
  <si>
    <t>Total</t>
  </si>
  <si>
    <t>Classmates</t>
  </si>
  <si>
    <t>Juniors (6-12)</t>
  </si>
  <si>
    <t>Toddlers (2-5)</t>
  </si>
  <si>
    <t>Infants (0 -2)</t>
  </si>
  <si>
    <t>Walk-In</t>
  </si>
  <si>
    <t>Adult Guests</t>
  </si>
  <si>
    <r>
      <t>Initial Bud</t>
    </r>
    <r>
      <rPr>
        <b/>
        <sz val="11"/>
        <color indexed="8"/>
        <rFont val="Calibri"/>
        <family val="2"/>
      </rPr>
      <t>g</t>
    </r>
    <r>
      <rPr>
        <b/>
        <sz val="11"/>
        <color theme="1"/>
        <rFont val="Calibri"/>
        <family val="2"/>
        <scheme val="minor"/>
      </rPr>
      <t>et</t>
    </r>
    <phoneticPr fontId="24" type="noConversion"/>
  </si>
  <si>
    <t>INITIAL BUDGET</t>
  </si>
  <si>
    <t>Fixed</t>
  </si>
  <si>
    <t>Variable Costs per Person</t>
  </si>
  <si>
    <t>Total by</t>
  </si>
  <si>
    <t>Event</t>
  </si>
  <si>
    <t>Costs</t>
  </si>
  <si>
    <t>$ per person</t>
  </si>
  <si>
    <t>Line Item</t>
  </si>
  <si>
    <t>Events: Meals</t>
  </si>
  <si>
    <t/>
  </si>
  <si>
    <t>Thursday</t>
  </si>
  <si>
    <t>Preliminary</t>
  </si>
  <si>
    <t>Final</t>
  </si>
  <si>
    <t>Prelim vs Initial</t>
  </si>
  <si>
    <t>Variance</t>
  </si>
  <si>
    <t>Final vs Prelim</t>
  </si>
  <si>
    <t>% of Total Adults:</t>
  </si>
  <si>
    <t>Head Bartender</t>
  </si>
  <si>
    <t>Bartenders (5)</t>
  </si>
  <si>
    <t>Childcare</t>
  </si>
  <si>
    <t>Fixed Cost for Coordinator &amp; Assistant</t>
  </si>
  <si>
    <t>Teen Program</t>
  </si>
  <si>
    <t>Junior Program</t>
  </si>
  <si>
    <t>Toddler (2-5)</t>
  </si>
  <si>
    <t>Transportation</t>
  </si>
  <si>
    <t>College Mailings</t>
  </si>
  <si>
    <t>Option #2</t>
  </si>
  <si>
    <t>Badges</t>
  </si>
  <si>
    <t>Beer</t>
  </si>
  <si>
    <t>Online registration fees</t>
  </si>
  <si>
    <t>1988 Reunion: Expense Detail</t>
  </si>
  <si>
    <t>% of Total Attendance:</t>
  </si>
  <si>
    <t>Adult Guests (18+)</t>
  </si>
  <si>
    <t>Infants (0-5)</t>
  </si>
  <si>
    <t>TOTAL EXPENSES</t>
  </si>
  <si>
    <t>PRELIMINARY BUDGET</t>
  </si>
  <si>
    <t>FINAL</t>
  </si>
  <si>
    <t>Events: Beverages</t>
  </si>
  <si>
    <t xml:space="preserve">      Total Expenses</t>
  </si>
  <si>
    <t>Total Surplus/(Deficit)</t>
  </si>
  <si>
    <t>Printing</t>
  </si>
  <si>
    <t>Materials/holders</t>
  </si>
  <si>
    <t>Key Assumptions</t>
  </si>
  <si>
    <t>Classmates Attending</t>
  </si>
  <si>
    <t>Adult Guests Attending</t>
  </si>
  <si>
    <t>Kid Guests Attending</t>
  </si>
  <si>
    <t>Total Attendees</t>
  </si>
  <si>
    <t>1988 Reunion: Attendance, Pricing, Revenues</t>
  </si>
  <si>
    <t>PRICING</t>
  </si>
  <si>
    <t>REVENUE</t>
  </si>
  <si>
    <t>Friday</t>
  </si>
  <si>
    <t>Saturday</t>
  </si>
  <si>
    <t>College Fees</t>
  </si>
  <si>
    <t>Workers</t>
  </si>
  <si>
    <t>Head worker</t>
  </si>
  <si>
    <t>Assistant workers (3)</t>
  </si>
  <si>
    <t>Stretch</t>
    <phoneticPr fontId="24" type="noConversion"/>
  </si>
  <si>
    <t>Proj</t>
    <phoneticPr fontId="24" type="noConversion"/>
  </si>
  <si>
    <t xml:space="preserve"># </t>
  </si>
  <si>
    <t>Open Playlist</t>
  </si>
  <si>
    <t xml:space="preserve">DJ </t>
  </si>
  <si>
    <t>Wine</t>
  </si>
  <si>
    <t>Bar</t>
  </si>
  <si>
    <t>Water</t>
  </si>
  <si>
    <t>Soda/Mixers</t>
  </si>
  <si>
    <t>Adults</t>
  </si>
  <si>
    <t>Flyers for tent/schedules</t>
  </si>
  <si>
    <t>Materials</t>
  </si>
  <si>
    <t>Wrist Bands</t>
  </si>
  <si>
    <t>Lanyards</t>
  </si>
  <si>
    <t>Communication/Registration</t>
  </si>
  <si>
    <t>Credit Card Processing</t>
  </si>
  <si>
    <t>% of revenue</t>
  </si>
  <si>
    <t>Goodie Bag</t>
  </si>
  <si>
    <t>Admission</t>
  </si>
  <si>
    <t>PA /AV system</t>
  </si>
  <si>
    <t>Tent decorations</t>
  </si>
  <si>
    <t>Tent Equipment</t>
  </si>
  <si>
    <t>Class Photo</t>
  </si>
  <si>
    <t>Transportation, Equipment, Misc</t>
  </si>
  <si>
    <t>Caterer Tent/Lighting</t>
    <phoneticPr fontId="24" type="noConversion"/>
  </si>
  <si>
    <t>Expenses</t>
  </si>
  <si>
    <t>Events: Entertainment</t>
  </si>
  <si>
    <t>Teens</t>
  </si>
  <si>
    <t>Juniors</t>
  </si>
  <si>
    <t>Toddler</t>
  </si>
  <si>
    <t>Infants</t>
  </si>
  <si>
    <t>Golf</t>
  </si>
  <si>
    <t>Teen</t>
  </si>
  <si>
    <t>Junior</t>
  </si>
  <si>
    <t>Infants/Toddlers (0-5)</t>
  </si>
  <si>
    <t>Golf Prizes</t>
  </si>
  <si>
    <t>Green Fee ($79)</t>
  </si>
  <si>
    <t>Golf Fees</t>
  </si>
  <si>
    <t>Pizza for Students</t>
  </si>
  <si>
    <t>FINAL Revenue</t>
  </si>
  <si>
    <t>Per Adult</t>
  </si>
  <si>
    <t>Sound System</t>
  </si>
  <si>
    <t>Actual</t>
  </si>
  <si>
    <t>82-87 Attendance Stats</t>
  </si>
  <si>
    <t>Alumni</t>
  </si>
  <si>
    <t>Children</t>
  </si>
  <si>
    <t>D'88 25th Reunion Attendance Stats</t>
  </si>
  <si>
    <t xml:space="preserve">Note: Assumes 280 classmates based on 28% Definitely Attending from 1988 Reunion Survey.  This would beat 1982 record (272/432 total). </t>
  </si>
  <si>
    <t xml:space="preserve">Assumes each classmate brings 0.62 guests based on 5 year average of other classes. </t>
  </si>
  <si>
    <t xml:space="preserve">Mix of Adults/Kids and timing of registration based on 1988 25th reunion stats.  Assumes 75% of kids are Teens, 25% are Juniors based on 1987 Reunion stats. </t>
  </si>
  <si>
    <t>Toddlers</t>
  </si>
  <si>
    <t>Worker tips (Range of $1,400-$1,750)</t>
  </si>
  <si>
    <t>Class Van</t>
  </si>
  <si>
    <t>(From 25th)</t>
  </si>
  <si>
    <t>Silent Disco</t>
  </si>
  <si>
    <t>25th Reunion Caterer Numbers</t>
  </si>
  <si>
    <t>Per Person</t>
  </si>
  <si>
    <t>1987 Class Budget</t>
  </si>
  <si>
    <t>Note: Excludes $4,400 in Financial Aid</t>
  </si>
  <si>
    <t>% of Total Adults/Teens:</t>
  </si>
  <si>
    <t>Friday Breakfast @ Tent (53 Commons)</t>
  </si>
  <si>
    <t>Saturday Breakfast @ 53 Commons</t>
  </si>
  <si>
    <t>Pretzels</t>
  </si>
  <si>
    <t>Coffee</t>
  </si>
  <si>
    <t>NH Tax</t>
  </si>
  <si>
    <t>Tent Snacks &amp; Drinks</t>
  </si>
  <si>
    <t>Service Rental</t>
  </si>
  <si>
    <t>Gratuity (18% of food cost)</t>
  </si>
  <si>
    <t>Included</t>
  </si>
  <si>
    <t>Tablecloths/Nibbles</t>
  </si>
  <si>
    <t>Tablecloths/Glassware</t>
  </si>
  <si>
    <t>Gratuity (17% of Meal Cost)</t>
  </si>
  <si>
    <t>Gratuity</t>
  </si>
  <si>
    <t>Hors d's/Dinner</t>
  </si>
  <si>
    <t>Water &amp; dispenser</t>
  </si>
  <si>
    <t>Gratuity/Taxes</t>
  </si>
  <si>
    <t>Other</t>
  </si>
  <si>
    <t>Thursday Welcome Dinner @ Tent (Blood's)</t>
  </si>
  <si>
    <t xml:space="preserve">  Total</t>
  </si>
  <si>
    <t>Buses for Thurs Hike/Sat Lunch</t>
  </si>
  <si>
    <t>Furniture rental</t>
  </si>
  <si>
    <t>Note:1987's spent $15,000 ($39 per adult).</t>
  </si>
  <si>
    <t>Adult Guests (50%)</t>
  </si>
  <si>
    <t>Gift Choice #2: Blanket</t>
  </si>
  <si>
    <t>As of 2/28/18</t>
  </si>
  <si>
    <t>Registrants</t>
  </si>
  <si>
    <t>Count</t>
  </si>
  <si>
    <t>Adult Child</t>
  </si>
  <si>
    <t>Host</t>
  </si>
  <si>
    <t>Spouse/Partner</t>
  </si>
  <si>
    <t>Grand Total</t>
  </si>
  <si>
    <t>Activities</t>
  </si>
  <si>
    <t>Thursday - King Arthur Cooking Event</t>
  </si>
  <si>
    <t>Thursday - Moose Mountain Hike</t>
  </si>
  <si>
    <t>Thursday - Welcome Dinner at the Class Tent</t>
  </si>
  <si>
    <t>Friday - Kundalini Yoga at the Alumni Gym</t>
  </si>
  <si>
    <t>Friday - Golf at the Hanover Country Club</t>
  </si>
  <si>
    <t>Friday - Lunch on McNutt Lawn</t>
  </si>
  <si>
    <t>Friday - Dinner on Blunt Lawn</t>
  </si>
  <si>
    <t>Saturday - Lunch on the DOC House Lawn</t>
  </si>
  <si>
    <t>Saturday - Class Dinner at the Kemeny Courtyard (Adults Only)</t>
  </si>
  <si>
    <t>Sunday - Class Meeting and Farewell Breakfast at the Class Tent</t>
  </si>
  <si>
    <t>Revenue</t>
  </si>
  <si>
    <t>Registration Fees</t>
  </si>
  <si>
    <t>Class Dues</t>
  </si>
  <si>
    <t>King Arthur Cooking Event</t>
  </si>
  <si>
    <t>Moose Mountain Hike</t>
  </si>
  <si>
    <t>Amount Paid Over The Phone</t>
  </si>
  <si>
    <t>Adult (18+) Early Rate</t>
  </si>
  <si>
    <t>Junior (6-12) Early Rate</t>
  </si>
  <si>
    <t>Teen (13-17) Early Rate</t>
  </si>
  <si>
    <t>Souvenir Selection</t>
  </si>
  <si>
    <t>Blanket</t>
  </si>
  <si>
    <t>Pullover</t>
  </si>
  <si>
    <t>Gift Choice #1: Pullover</t>
  </si>
  <si>
    <t>Var to Initial</t>
  </si>
  <si>
    <t>Proj</t>
  </si>
  <si>
    <t>Servings per:</t>
  </si>
  <si>
    <t>Duration</t>
  </si>
  <si>
    <t>Meal</t>
  </si>
  <si>
    <t>Servings/Person</t>
  </si>
  <si>
    <t>% of Attendees</t>
  </si>
  <si>
    <t># of servings</t>
  </si>
  <si>
    <t>Extended Cost</t>
  </si>
  <si>
    <t>Cases</t>
  </si>
  <si>
    <t>Bottle Price</t>
  </si>
  <si>
    <t>Logs</t>
  </si>
  <si>
    <t>Unit Price</t>
  </si>
  <si>
    <t>Soda</t>
  </si>
  <si>
    <t>Cannisters</t>
  </si>
  <si>
    <t>Accessories</t>
  </si>
  <si>
    <t>Thursday Dinner</t>
  </si>
  <si>
    <t>White-Chenin Blanc/Viognier, Pine Ridge</t>
  </si>
  <si>
    <t>14th Star Tribute (8.2%, double IPA)</t>
  </si>
  <si>
    <t>Sprite</t>
  </si>
  <si>
    <t>Iced Tap Water</t>
  </si>
  <si>
    <t>Red-Rosso di Toscana, Le Painette</t>
  </si>
  <si>
    <t>Zero Gravity ConeHead (5%, wheat IPA)</t>
  </si>
  <si>
    <t>Diet Coke</t>
  </si>
  <si>
    <t>Poland Springs Sparkling</t>
  </si>
  <si>
    <t>Corona</t>
  </si>
  <si>
    <t>Friday lunch</t>
  </si>
  <si>
    <t>White-Pinot Gris, Acrobat</t>
  </si>
  <si>
    <t>Harpoon IPA (6%)</t>
  </si>
  <si>
    <t>Red-Red Blend, Bedrock "Shebang"</t>
  </si>
  <si>
    <t>Zero Gravity Green State Lager (4.5%)</t>
  </si>
  <si>
    <t>Coke</t>
  </si>
  <si>
    <t>Iced Coffee</t>
  </si>
  <si>
    <t>Friday Tasting</t>
  </si>
  <si>
    <t>Stout</t>
  </si>
  <si>
    <t>Brown Ale</t>
  </si>
  <si>
    <t>Red Ale</t>
  </si>
  <si>
    <t>Weissbeir</t>
  </si>
  <si>
    <t>Fruit infused ale</t>
  </si>
  <si>
    <t>Friday dinner</t>
  </si>
  <si>
    <t>White-Gruner Veltliner, Steininger Loisium</t>
  </si>
  <si>
    <t>Upper Pass Cloud Drop (8%, Double IPA)</t>
  </si>
  <si>
    <t>Red-Pinot Noir, Patricia Green Reserve</t>
  </si>
  <si>
    <t>Burlington Beer Company - Elaborate Metaphor (5.5%, Pale Ale)</t>
  </si>
  <si>
    <t>Saturday lunch</t>
  </si>
  <si>
    <t>White-Sauvignon Blanc, Mahu</t>
  </si>
  <si>
    <t>Fiddlehead (6%, IPA)</t>
  </si>
  <si>
    <t>Red-Cotes duRhone, La Grivilliere</t>
  </si>
  <si>
    <t>Sam Adams Summer (5%, Lager)</t>
  </si>
  <si>
    <t>Saturday dinner</t>
  </si>
  <si>
    <t>White-Chablis, Sequinot-Bordet</t>
  </si>
  <si>
    <t>Burlington Beer Company Wizard (8%, Double IPA)</t>
  </si>
  <si>
    <t>Red-Cabernet Sauvignon, Dry Creek Vinyard</t>
  </si>
  <si>
    <t>Upper Pass First Drop (5.9%, American Pale Ale)</t>
  </si>
  <si>
    <t>Sunday Brunch</t>
  </si>
  <si>
    <t>Sparkling Proseco, Bianca Vigna</t>
  </si>
  <si>
    <t>Whatever is left</t>
  </si>
  <si>
    <t>Whatever is left!</t>
  </si>
  <si>
    <t>Untapped kegs are returnable</t>
  </si>
  <si>
    <t>Poland Sprints</t>
  </si>
  <si>
    <t>Total Beverages</t>
  </si>
  <si>
    <t>Assumptions</t>
  </si>
  <si>
    <t>Servings</t>
  </si>
  <si>
    <t>7 cases</t>
  </si>
  <si>
    <t>12 oz clear plastic beer/soda</t>
  </si>
  <si>
    <t>Container Cost / 1000</t>
  </si>
  <si>
    <t>3 cases</t>
  </si>
  <si>
    <t>7 oz hard plastic cocktail</t>
  </si>
  <si>
    <t>12 oz insulated coffee &amp; lids</t>
  </si>
  <si>
    <t>Tap Rentals</t>
  </si>
  <si>
    <t>Friday Dinner</t>
  </si>
  <si>
    <t>Events</t>
  </si>
  <si>
    <t>Saturday Dinner</t>
  </si>
  <si>
    <t>Tasting</t>
  </si>
  <si>
    <t>Refridgerated truck</t>
  </si>
  <si>
    <t>Ice</t>
  </si>
  <si>
    <t>Total Cost</t>
  </si>
  <si>
    <t>Saturday - Kundalini Yoga</t>
  </si>
  <si>
    <t>Early Bird continues to April 9,  Regular to June 1.</t>
  </si>
  <si>
    <t>Friend/Colleague/Classmate</t>
  </si>
  <si>
    <t>(From Regist)</t>
  </si>
  <si>
    <t>Attendance %</t>
  </si>
  <si>
    <t>Water Bottles</t>
  </si>
  <si>
    <t>Adult (18+) Regular Rate</t>
  </si>
  <si>
    <t>Teen (13-17) Regular Rate</t>
  </si>
  <si>
    <t>(blank)</t>
  </si>
  <si>
    <t>Thrs Dinn</t>
  </si>
  <si>
    <t>Fri Lunch</t>
  </si>
  <si>
    <t>Fri Dinn</t>
  </si>
  <si>
    <t>Sat Lunch</t>
  </si>
  <si>
    <t>Sat Dinn</t>
  </si>
  <si>
    <t>Sun Brnch</t>
  </si>
  <si>
    <t>% Attend</t>
  </si>
  <si>
    <t>D'88 30th Reunion Meal Attendance - Based on 25th Reunion</t>
  </si>
  <si>
    <t>D'88 30th Reunion Meal Attendance - Based on '87 stats</t>
  </si>
  <si>
    <t>D'88 30th Reunion Meal Attendance - Based on current registration</t>
  </si>
  <si>
    <t>Junior (6-12) Regular Rate</t>
  </si>
  <si>
    <t>Adult (18+) General Fee</t>
  </si>
  <si>
    <t>Special Rate - Saturday Only</t>
  </si>
  <si>
    <t>Saturday Night Only (&lt;50 miles)</t>
  </si>
  <si>
    <t>Toddlers (2-5)/Blank/General</t>
  </si>
  <si>
    <t>As of 6/11/18</t>
  </si>
  <si>
    <t>  </t>
  </si>
  <si>
    <r>
      <t>Final Bud</t>
    </r>
    <r>
      <rPr>
        <b/>
        <sz val="11"/>
        <color indexed="8"/>
        <rFont val="Calibri"/>
        <family val="2"/>
      </rPr>
      <t>g</t>
    </r>
    <r>
      <rPr>
        <b/>
        <sz val="11"/>
        <color theme="1"/>
        <rFont val="Calibri"/>
        <family val="2"/>
        <scheme val="minor"/>
      </rPr>
      <t>et</t>
    </r>
  </si>
  <si>
    <t>Note:  Initial Budget includes revisions from 1/25 Budget meeting with Alumni Office.</t>
  </si>
  <si>
    <t xml:space="preserve">   June 14-18, 2018</t>
  </si>
  <si>
    <t>Var to Prelim</t>
  </si>
  <si>
    <t>Classmates Attending (includes Sat Only)</t>
  </si>
  <si>
    <t>Note:  Now one fee  vs. itemized.</t>
  </si>
  <si>
    <t>Not yet paid</t>
  </si>
  <si>
    <t>Registration Table</t>
  </si>
  <si>
    <t>Misc/Unexpected</t>
  </si>
  <si>
    <t>Saturday Dinner @ Rockefeller (B&amp;W)</t>
  </si>
  <si>
    <t>Saturday Lunch @ Bema (DDS)</t>
  </si>
  <si>
    <t>Other (Yoga/Glow Cups)</t>
  </si>
  <si>
    <t>Teens (13- 17)</t>
  </si>
  <si>
    <t>Amount over Phone</t>
  </si>
  <si>
    <t>More workers</t>
  </si>
  <si>
    <t>Classmates (includes 9 '88 spouses)</t>
  </si>
  <si>
    <t>Classmates Attending (includes Sat Only/Comps)</t>
  </si>
  <si>
    <t>Toddlers (2-5)/Blank/Comps</t>
  </si>
  <si>
    <t>3 Sat, 9 Comps</t>
  </si>
  <si>
    <t>Adult Guests Attending (Includes Sat Only/Blanks/Comps)</t>
  </si>
  <si>
    <t>2 Sat, 3 Blanks, 2 Comps</t>
  </si>
  <si>
    <t>Budget</t>
  </si>
  <si>
    <t>Cold Plate/CO2</t>
  </si>
  <si>
    <t>As of 6/22/18</t>
  </si>
  <si>
    <t>Adult (18+) Late Rate</t>
  </si>
  <si>
    <t>Junior (6-12) Late Rate</t>
  </si>
  <si>
    <t>Teen (13-17) Late Rate</t>
  </si>
  <si>
    <t>King Arthur Cooking</t>
  </si>
  <si>
    <t>Actual numbers submitted (as of June 22)</t>
  </si>
  <si>
    <t>Registration Revenues</t>
  </si>
  <si>
    <t>Moose Mt Hike</t>
  </si>
  <si>
    <t>REGISTER</t>
  </si>
  <si>
    <t>Centerpieces/Flowers</t>
  </si>
  <si>
    <t>Walk-ins</t>
  </si>
  <si>
    <t>Friday Lunch @ McNutt (Idlewood)</t>
  </si>
  <si>
    <t>Friday Dinner @ DOC House (Idlewood)</t>
  </si>
  <si>
    <t>Sunday Brunch @ Tent (Idlewood)</t>
  </si>
  <si>
    <t>Idlewood 5% discount</t>
  </si>
  <si>
    <t>Late Snacks (Ben &amp; Jerry)</t>
  </si>
  <si>
    <t>Flowers, linens</t>
  </si>
  <si>
    <t>Idlewood</t>
  </si>
  <si>
    <t>B&amp;J</t>
  </si>
  <si>
    <t>Bloods</t>
  </si>
  <si>
    <t>B&amp;W</t>
  </si>
  <si>
    <t>Skinny Pancake</t>
  </si>
  <si>
    <t>DJ</t>
  </si>
  <si>
    <t>Donna Durgin</t>
  </si>
  <si>
    <t>KAF</t>
  </si>
  <si>
    <t>Mt Moose</t>
  </si>
  <si>
    <t>Glow Cups</t>
  </si>
  <si>
    <t>Norwich Wine</t>
  </si>
  <si>
    <t>Blankets/Pull</t>
  </si>
  <si>
    <t>TOTAL -P/L</t>
  </si>
  <si>
    <t>No furniture</t>
  </si>
  <si>
    <t>Note:  For activities, we netted $270 net of fees (no-shows)</t>
  </si>
  <si>
    <t>Donated</t>
  </si>
  <si>
    <t xml:space="preserve"> in College Fees</t>
  </si>
  <si>
    <t>Food Trucks (Skinny Pancake)</t>
  </si>
  <si>
    <t>REGISTRATION</t>
  </si>
  <si>
    <t>Alumni Registration</t>
  </si>
  <si>
    <t>Guest Registration</t>
  </si>
  <si>
    <t>Official attendance numbers were 348 alumni and 536 overall due to 6 no-show families.</t>
  </si>
  <si>
    <t>Registration - NEW RECORD!</t>
  </si>
  <si>
    <t>Registration - KEY GOAL!</t>
  </si>
  <si>
    <t>Registartion - KEY GOAL!</t>
  </si>
  <si>
    <t>Variance due to golf no-shows,</t>
  </si>
  <si>
    <t>Mt Moose underpay</t>
  </si>
  <si>
    <t>Invoices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</si>
</sst>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.00;#,##0.00"/>
    <numFmt numFmtId="166" formatCode="&quot;$&quot;#,##0.00"/>
    <numFmt numFmtId="167" formatCode="_(* #,##0_);_(* \(#,##0\);_(* &quot;-&quot;??_);_(@_)"/>
    <numFmt numFmtId="168" formatCode="_(* #,##0.000_);_(* \(#,##0.000\);_(* &quot;-&quot;??_);_(@_)"/>
    <numFmt numFmtId="169" formatCode="_(* #,##0.0000_);_(* \(#,##0.0000\);_(* &quot;-&quot;??_);_(@_)"/>
    <numFmt numFmtId="170" formatCode="&quot;$&quot;#,##0.0000_);\(&quot;$&quot;#,##0.0000\)"/>
    <numFmt numFmtId="171" formatCode="_(&quot;$&quot;* #,##0_);_(&quot;$&quot;* \(#,##0\);_(&quot;$&quot;* &quot;-&quot;??_);_(@_)"/>
    <numFmt numFmtId="172" formatCode="0.0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u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i/>
      <sz val="9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8"/>
      <name val="Verdana"/>
      <family val="2"/>
    </font>
    <font>
      <i/>
      <sz val="8"/>
      <color indexed="8"/>
      <name val="Arial"/>
      <family val="2"/>
    </font>
    <font>
      <sz val="14"/>
      <color indexed="8"/>
      <name val="Calibri"/>
      <family val="2"/>
    </font>
    <font>
      <b/>
      <sz val="8"/>
      <color indexed="8"/>
      <name val="Arial"/>
      <family val="2"/>
    </font>
    <font>
      <b/>
      <sz val="14"/>
      <color indexed="8"/>
      <name val="Calibri"/>
      <family val="2"/>
    </font>
    <font>
      <u/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rgb="FF0070C0"/>
      <name val="Arial"/>
      <family val="2"/>
    </font>
    <font>
      <b/>
      <sz val="9"/>
      <color rgb="FF0070C0"/>
      <name val="Arial"/>
      <family val="2"/>
    </font>
    <font>
      <sz val="11"/>
      <color rgb="FF0070C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sz val="9"/>
      <color theme="3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color rgb="FF000000"/>
      <name val="Trebuchet MS"/>
      <family val="2"/>
    </font>
    <font>
      <sz val="9"/>
      <color rgb="FFFF0000"/>
      <name val="Arial"/>
      <family val="2"/>
    </font>
    <font>
      <b/>
      <u val="singleAccounting"/>
      <sz val="11"/>
      <color theme="1"/>
      <name val="Calibri"/>
      <family val="2"/>
      <scheme val="minor"/>
    </font>
    <font>
      <u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rgb="FF000000"/>
      </right>
      <top/>
      <bottom/>
      <diagonal/>
    </border>
  </borders>
  <cellStyleXfs count="4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59" applyNumberFormat="0" applyFill="0" applyAlignment="0" applyProtection="0"/>
    <xf numFmtId="0" fontId="42" fillId="0" borderId="60" applyNumberFormat="0" applyFill="0" applyAlignment="0" applyProtection="0"/>
    <xf numFmtId="0" fontId="43" fillId="0" borderId="61" applyNumberFormat="0" applyFill="0" applyAlignment="0" applyProtection="0"/>
    <xf numFmtId="0" fontId="43" fillId="0" borderId="0" applyNumberFormat="0" applyFill="0" applyBorder="0" applyAlignment="0" applyProtection="0"/>
    <xf numFmtId="0" fontId="44" fillId="7" borderId="0" applyNumberFormat="0" applyBorder="0" applyAlignment="0" applyProtection="0"/>
    <xf numFmtId="0" fontId="45" fillId="8" borderId="0" applyNumberFormat="0" applyBorder="0" applyAlignment="0" applyProtection="0"/>
    <xf numFmtId="0" fontId="46" fillId="10" borderId="62" applyNumberFormat="0" applyAlignment="0" applyProtection="0"/>
    <xf numFmtId="0" fontId="47" fillId="11" borderId="63" applyNumberFormat="0" applyAlignment="0" applyProtection="0"/>
    <xf numFmtId="0" fontId="48" fillId="11" borderId="62" applyNumberFormat="0" applyAlignment="0" applyProtection="0"/>
    <xf numFmtId="0" fontId="49" fillId="0" borderId="64" applyNumberFormat="0" applyFill="0" applyAlignment="0" applyProtection="0"/>
    <xf numFmtId="0" fontId="50" fillId="12" borderId="65" applyNumberFormat="0" applyAlignment="0" applyProtection="0"/>
    <xf numFmtId="0" fontId="51" fillId="0" borderId="0" applyNumberFormat="0" applyFill="0" applyBorder="0" applyAlignment="0" applyProtection="0"/>
    <xf numFmtId="0" fontId="1" fillId="13" borderId="66" applyNumberFormat="0" applyFont="0" applyAlignment="0" applyProtection="0"/>
    <xf numFmtId="0" fontId="52" fillId="0" borderId="0" applyNumberFormat="0" applyFill="0" applyBorder="0" applyAlignment="0" applyProtection="0"/>
    <xf numFmtId="0" fontId="2" fillId="0" borderId="67" applyNumberFormat="0" applyFill="0" applyAlignment="0" applyProtection="0"/>
    <xf numFmtId="0" fontId="5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5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5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5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5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3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54" fillId="9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</cellStyleXfs>
  <cellXfs count="498">
    <xf numFmtId="0" fontId="0" fillId="0" borderId="0" xfId="0"/>
    <xf numFmtId="0" fontId="3" fillId="0" borderId="0" xfId="0" applyFont="1"/>
    <xf numFmtId="0" fontId="2" fillId="0" borderId="0" xfId="0" applyFont="1"/>
    <xf numFmtId="2" fontId="0" fillId="0" borderId="0" xfId="0" applyNumberFormat="1"/>
    <xf numFmtId="9" fontId="0" fillId="0" borderId="0" xfId="2" applyFont="1"/>
    <xf numFmtId="0" fontId="0" fillId="0" borderId="0" xfId="0" applyFill="1"/>
    <xf numFmtId="0" fontId="0" fillId="2" borderId="13" xfId="0" applyFill="1" applyBorder="1"/>
    <xf numFmtId="0" fontId="0" fillId="2" borderId="21" xfId="0" applyFill="1" applyBorder="1" applyAlignment="1">
      <alignment horizontal="right"/>
    </xf>
    <xf numFmtId="0" fontId="0" fillId="2" borderId="22" xfId="0" applyFill="1" applyBorder="1" applyAlignment="1">
      <alignment horizontal="right"/>
    </xf>
    <xf numFmtId="0" fontId="0" fillId="2" borderId="23" xfId="0" applyFill="1" applyBorder="1" applyAlignment="1">
      <alignment horizontal="right"/>
    </xf>
    <xf numFmtId="0" fontId="0" fillId="2" borderId="24" xfId="0" applyFill="1" applyBorder="1"/>
    <xf numFmtId="0" fontId="2" fillId="2" borderId="25" xfId="0" applyFont="1" applyFill="1" applyBorder="1" applyAlignment="1">
      <alignment horizontal="centerContinuous"/>
    </xf>
    <xf numFmtId="0" fontId="0" fillId="2" borderId="26" xfId="0" applyFill="1" applyBorder="1"/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Continuous"/>
    </xf>
    <xf numFmtId="0" fontId="0" fillId="2" borderId="19" xfId="0" applyFill="1" applyBorder="1"/>
    <xf numFmtId="0" fontId="0" fillId="2" borderId="22" xfId="0" applyFill="1" applyBorder="1"/>
    <xf numFmtId="0" fontId="0" fillId="2" borderId="24" xfId="0" applyFill="1" applyBorder="1" applyAlignment="1">
      <alignment horizontal="right"/>
    </xf>
    <xf numFmtId="0" fontId="0" fillId="2" borderId="25" xfId="0" applyFill="1" applyBorder="1" applyAlignment="1">
      <alignment horizontal="right"/>
    </xf>
    <xf numFmtId="0" fontId="0" fillId="2" borderId="26" xfId="0" applyFill="1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7" xfId="0" applyBorder="1"/>
    <xf numFmtId="0" fontId="0" fillId="0" borderId="0" xfId="0" applyBorder="1"/>
    <xf numFmtId="0" fontId="0" fillId="0" borderId="15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164" fontId="0" fillId="0" borderId="18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164" fontId="0" fillId="0" borderId="27" xfId="0" applyNumberFormat="1" applyBorder="1"/>
    <xf numFmtId="164" fontId="0" fillId="0" borderId="0" xfId="0" applyNumberFormat="1" applyBorder="1"/>
    <xf numFmtId="164" fontId="0" fillId="0" borderId="15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0" fontId="2" fillId="2" borderId="12" xfId="0" applyFont="1" applyFill="1" applyBorder="1" applyAlignment="1">
      <alignment horizontal="center"/>
    </xf>
    <xf numFmtId="0" fontId="2" fillId="3" borderId="24" xfId="0" applyFont="1" applyFill="1" applyBorder="1"/>
    <xf numFmtId="0" fontId="2" fillId="3" borderId="25" xfId="0" applyFont="1" applyFill="1" applyBorder="1"/>
    <xf numFmtId="0" fontId="2" fillId="3" borderId="26" xfId="0" applyFont="1" applyFill="1" applyBorder="1"/>
    <xf numFmtId="0" fontId="2" fillId="3" borderId="12" xfId="0" applyFont="1" applyFill="1" applyBorder="1"/>
    <xf numFmtId="164" fontId="2" fillId="3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4" fillId="2" borderId="24" xfId="0" applyFont="1" applyFill="1" applyBorder="1"/>
    <xf numFmtId="0" fontId="0" fillId="2" borderId="12" xfId="0" applyFont="1" applyFill="1" applyBorder="1" applyAlignment="1">
      <alignment horizontal="center"/>
    </xf>
    <xf numFmtId="0" fontId="0" fillId="3" borderId="24" xfId="0" applyFill="1" applyBorder="1"/>
    <xf numFmtId="0" fontId="0" fillId="3" borderId="12" xfId="0" applyFill="1" applyBorder="1" applyAlignment="1">
      <alignment horizontal="center"/>
    </xf>
    <xf numFmtId="0" fontId="5" fillId="0" borderId="18" xfId="0" applyFont="1" applyBorder="1"/>
    <xf numFmtId="0" fontId="6" fillId="2" borderId="17" xfId="0" applyFont="1" applyFill="1" applyBorder="1"/>
    <xf numFmtId="0" fontId="2" fillId="0" borderId="0" xfId="0" quotePrefix="1" applyFont="1"/>
    <xf numFmtId="0" fontId="0" fillId="0" borderId="24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12" xfId="0" applyBorder="1" applyAlignment="1">
      <alignment horizontal="right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16" xfId="0" applyFont="1" applyBorder="1" applyAlignment="1">
      <alignment horizontal="center" wrapText="1"/>
    </xf>
    <xf numFmtId="0" fontId="8" fillId="0" borderId="16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9" fillId="0" borderId="16" xfId="0" applyFont="1" applyBorder="1"/>
    <xf numFmtId="0" fontId="8" fillId="0" borderId="7" xfId="0" applyFont="1" applyBorder="1"/>
    <xf numFmtId="39" fontId="8" fillId="0" borderId="8" xfId="0" applyNumberFormat="1" applyFont="1" applyBorder="1"/>
    <xf numFmtId="0" fontId="8" fillId="0" borderId="9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9" fontId="8" fillId="0" borderId="8" xfId="0" applyNumberFormat="1" applyFont="1" applyBorder="1"/>
    <xf numFmtId="0" fontId="10" fillId="0" borderId="7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8" fillId="0" borderId="7" xfId="0" applyNumberFormat="1" applyFont="1" applyBorder="1" applyAlignment="1">
      <alignment wrapText="1"/>
    </xf>
    <xf numFmtId="0" fontId="8" fillId="0" borderId="8" xfId="0" applyNumberFormat="1" applyFont="1" applyBorder="1" applyAlignment="1">
      <alignment wrapText="1"/>
    </xf>
    <xf numFmtId="1" fontId="8" fillId="0" borderId="16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8" fillId="4" borderId="5" xfId="0" applyFont="1" applyFill="1" applyBorder="1" applyAlignment="1">
      <alignment wrapText="1"/>
    </xf>
    <xf numFmtId="0" fontId="8" fillId="4" borderId="8" xfId="0" applyFont="1" applyFill="1" applyBorder="1" applyAlignment="1">
      <alignment wrapText="1"/>
    </xf>
    <xf numFmtId="0" fontId="8" fillId="4" borderId="8" xfId="0" applyNumberFormat="1" applyFont="1" applyFill="1" applyBorder="1" applyAlignment="1">
      <alignment wrapText="1"/>
    </xf>
    <xf numFmtId="6" fontId="16" fillId="0" borderId="7" xfId="1" applyNumberFormat="1" applyFont="1" applyBorder="1" applyAlignment="1">
      <alignment horizontal="center"/>
    </xf>
    <xf numFmtId="6" fontId="17" fillId="0" borderId="0" xfId="1" applyNumberFormat="1" applyFont="1" applyBorder="1" applyAlignment="1">
      <alignment wrapText="1"/>
    </xf>
    <xf numFmtId="6" fontId="17" fillId="0" borderId="1" xfId="1" applyNumberFormat="1" applyFont="1" applyBorder="1" applyAlignment="1">
      <alignment wrapText="1"/>
    </xf>
    <xf numFmtId="6" fontId="17" fillId="0" borderId="11" xfId="1" applyNumberFormat="1" applyFont="1" applyBorder="1" applyAlignment="1">
      <alignment wrapText="1"/>
    </xf>
    <xf numFmtId="6" fontId="17" fillId="0" borderId="7" xfId="1" applyNumberFormat="1" applyFont="1" applyBorder="1" applyAlignment="1">
      <alignment horizontal="center"/>
    </xf>
    <xf numFmtId="6" fontId="17" fillId="0" borderId="11" xfId="1" applyNumberFormat="1" applyFont="1" applyBorder="1"/>
    <xf numFmtId="6" fontId="17" fillId="0" borderId="7" xfId="1" applyNumberFormat="1" applyFont="1" applyBorder="1" applyAlignment="1">
      <alignment wrapText="1"/>
    </xf>
    <xf numFmtId="6" fontId="17" fillId="0" borderId="7" xfId="1" applyNumberFormat="1" applyFont="1" applyBorder="1"/>
    <xf numFmtId="6" fontId="17" fillId="0" borderId="10" xfId="1" applyNumberFormat="1" applyFont="1" applyBorder="1" applyAlignment="1">
      <alignment wrapText="1"/>
    </xf>
    <xf numFmtId="6" fontId="1" fillId="0" borderId="0" xfId="1" applyNumberFormat="1" applyFont="1"/>
    <xf numFmtId="0" fontId="17" fillId="0" borderId="7" xfId="0" applyFont="1" applyBorder="1"/>
    <xf numFmtId="0" fontId="9" fillId="3" borderId="3" xfId="0" applyFont="1" applyFill="1" applyBorder="1" applyAlignment="1">
      <alignment wrapText="1"/>
    </xf>
    <xf numFmtId="0" fontId="8" fillId="3" borderId="28" xfId="0" applyFont="1" applyFill="1" applyBorder="1" applyAlignment="1">
      <alignment wrapText="1"/>
    </xf>
    <xf numFmtId="0" fontId="8" fillId="3" borderId="3" xfId="0" applyFont="1" applyFill="1" applyBorder="1" applyAlignment="1">
      <alignment horizontal="center" wrapText="1"/>
    </xf>
    <xf numFmtId="6" fontId="18" fillId="3" borderId="4" xfId="1" applyNumberFormat="1" applyFont="1" applyFill="1" applyBorder="1"/>
    <xf numFmtId="0" fontId="17" fillId="0" borderId="7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18" fillId="0" borderId="8" xfId="0" applyFont="1" applyBorder="1" applyAlignment="1">
      <alignment wrapText="1"/>
    </xf>
    <xf numFmtId="6" fontId="18" fillId="0" borderId="7" xfId="1" applyNumberFormat="1" applyFont="1" applyBorder="1"/>
    <xf numFmtId="0" fontId="18" fillId="4" borderId="5" xfId="0" applyFont="1" applyFill="1" applyBorder="1" applyAlignment="1">
      <alignment wrapText="1"/>
    </xf>
    <xf numFmtId="7" fontId="8" fillId="0" borderId="1" xfId="0" applyNumberFormat="1" applyFont="1" applyBorder="1" applyAlignment="1">
      <alignment wrapText="1"/>
    </xf>
    <xf numFmtId="7" fontId="8" fillId="0" borderId="16" xfId="0" applyNumberFormat="1" applyFont="1" applyBorder="1"/>
    <xf numFmtId="7" fontId="8" fillId="0" borderId="16" xfId="0" applyNumberFormat="1" applyFont="1" applyBorder="1" applyAlignment="1">
      <alignment wrapText="1"/>
    </xf>
    <xf numFmtId="7" fontId="8" fillId="0" borderId="8" xfId="0" applyNumberFormat="1" applyFont="1" applyBorder="1"/>
    <xf numFmtId="0" fontId="2" fillId="0" borderId="0" xfId="0" applyFont="1" applyBorder="1"/>
    <xf numFmtId="0" fontId="18" fillId="0" borderId="0" xfId="0" applyFont="1" applyBorder="1" applyAlignment="1">
      <alignment horizontal="center" wrapText="1"/>
    </xf>
    <xf numFmtId="0" fontId="17" fillId="0" borderId="11" xfId="0" applyFont="1" applyBorder="1"/>
    <xf numFmtId="8" fontId="8" fillId="0" borderId="8" xfId="0" applyNumberFormat="1" applyFont="1" applyBorder="1"/>
    <xf numFmtId="8" fontId="8" fillId="0" borderId="8" xfId="0" applyNumberFormat="1" applyFont="1" applyBorder="1" applyAlignment="1">
      <alignment wrapText="1"/>
    </xf>
    <xf numFmtId="166" fontId="7" fillId="3" borderId="4" xfId="0" applyNumberFormat="1" applyFont="1" applyFill="1" applyBorder="1" applyAlignment="1">
      <alignment wrapText="1"/>
    </xf>
    <xf numFmtId="7" fontId="8" fillId="3" borderId="3" xfId="0" applyNumberFormat="1" applyFont="1" applyFill="1" applyBorder="1" applyAlignment="1">
      <alignment wrapText="1"/>
    </xf>
    <xf numFmtId="7" fontId="8" fillId="0" borderId="0" xfId="0" applyNumberFormat="1" applyFont="1" applyBorder="1"/>
    <xf numFmtId="0" fontId="11" fillId="3" borderId="3" xfId="0" applyFont="1" applyFill="1" applyBorder="1" applyAlignment="1">
      <alignment wrapText="1"/>
    </xf>
    <xf numFmtId="0" fontId="7" fillId="3" borderId="4" xfId="0" applyFont="1" applyFill="1" applyBorder="1" applyAlignment="1">
      <alignment wrapText="1"/>
    </xf>
    <xf numFmtId="0" fontId="7" fillId="3" borderId="28" xfId="0" applyFont="1" applyFill="1" applyBorder="1" applyAlignment="1">
      <alignment wrapText="1"/>
    </xf>
    <xf numFmtId="0" fontId="7" fillId="3" borderId="3" xfId="0" applyFont="1" applyFill="1" applyBorder="1" applyAlignment="1">
      <alignment horizontal="center" wrapText="1"/>
    </xf>
    <xf numFmtId="7" fontId="7" fillId="3" borderId="3" xfId="0" applyNumberFormat="1" applyFont="1" applyFill="1" applyBorder="1"/>
    <xf numFmtId="0" fontId="8" fillId="3" borderId="4" xfId="0" applyFont="1" applyFill="1" applyBorder="1" applyAlignment="1">
      <alignment wrapText="1"/>
    </xf>
    <xf numFmtId="166" fontId="8" fillId="0" borderId="8" xfId="0" applyNumberFormat="1" applyFont="1" applyBorder="1" applyAlignment="1">
      <alignment wrapText="1"/>
    </xf>
    <xf numFmtId="0" fontId="22" fillId="0" borderId="7" xfId="0" applyFont="1" applyBorder="1"/>
    <xf numFmtId="7" fontId="8" fillId="0" borderId="8" xfId="0" applyNumberFormat="1" applyFont="1" applyBorder="1" applyAlignment="1">
      <alignment wrapText="1"/>
    </xf>
    <xf numFmtId="0" fontId="9" fillId="0" borderId="0" xfId="0" applyFont="1" applyBorder="1" applyAlignment="1">
      <alignment wrapText="1"/>
    </xf>
    <xf numFmtId="7" fontId="8" fillId="0" borderId="0" xfId="0" applyNumberFormat="1" applyFont="1" applyBorder="1" applyAlignment="1">
      <alignment wrapText="1"/>
    </xf>
    <xf numFmtId="0" fontId="19" fillId="0" borderId="0" xfId="0" applyFont="1" applyBorder="1" applyAlignment="1">
      <alignment wrapText="1"/>
    </xf>
    <xf numFmtId="10" fontId="8" fillId="0" borderId="0" xfId="0" applyNumberFormat="1" applyFont="1" applyBorder="1" applyAlignment="1">
      <alignment horizontal="center" wrapText="1"/>
    </xf>
    <xf numFmtId="7" fontId="8" fillId="0" borderId="16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7" fontId="7" fillId="3" borderId="3" xfId="0" applyNumberFormat="1" applyFont="1" applyFill="1" applyBorder="1" applyAlignment="1">
      <alignment wrapText="1"/>
    </xf>
    <xf numFmtId="0" fontId="17" fillId="0" borderId="0" xfId="0" applyFont="1" applyBorder="1"/>
    <xf numFmtId="0" fontId="17" fillId="0" borderId="16" xfId="0" applyFont="1" applyBorder="1"/>
    <xf numFmtId="0" fontId="19" fillId="0" borderId="0" xfId="0" applyFont="1" applyBorder="1"/>
    <xf numFmtId="0" fontId="10" fillId="0" borderId="8" xfId="0" applyFont="1" applyBorder="1" applyAlignment="1">
      <alignment horizontal="center"/>
    </xf>
    <xf numFmtId="8" fontId="0" fillId="0" borderId="0" xfId="0" applyNumberFormat="1"/>
    <xf numFmtId="0" fontId="0" fillId="0" borderId="19" xfId="0" applyFill="1" applyBorder="1"/>
    <xf numFmtId="0" fontId="0" fillId="0" borderId="22" xfId="0" applyFill="1" applyBorder="1"/>
    <xf numFmtId="2" fontId="0" fillId="0" borderId="0" xfId="0" applyNumberFormat="1" applyFill="1"/>
    <xf numFmtId="0" fontId="2" fillId="0" borderId="25" xfId="0" applyFont="1" applyFill="1" applyBorder="1"/>
    <xf numFmtId="0" fontId="0" fillId="0" borderId="22" xfId="0" applyFill="1" applyBorder="1" applyAlignment="1">
      <alignment horizontal="right"/>
    </xf>
    <xf numFmtId="0" fontId="23" fillId="2" borderId="21" xfId="0" applyFont="1" applyFill="1" applyBorder="1" applyAlignment="1">
      <alignment horizontal="center"/>
    </xf>
    <xf numFmtId="0" fontId="23" fillId="2" borderId="17" xfId="0" applyFont="1" applyFill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" fillId="2" borderId="24" xfId="0" applyFont="1" applyFill="1" applyBorder="1" applyAlignment="1">
      <alignment horizontal="center"/>
    </xf>
    <xf numFmtId="8" fontId="2" fillId="0" borderId="13" xfId="0" applyNumberFormat="1" applyFont="1" applyBorder="1"/>
    <xf numFmtId="8" fontId="0" fillId="0" borderId="14" xfId="0" applyNumberFormat="1" applyBorder="1"/>
    <xf numFmtId="8" fontId="2" fillId="0" borderId="14" xfId="0" applyNumberFormat="1" applyFont="1" applyBorder="1"/>
    <xf numFmtId="8" fontId="2" fillId="3" borderId="12" xfId="0" applyNumberFormat="1" applyFont="1" applyFill="1" applyBorder="1"/>
    <xf numFmtId="0" fontId="13" fillId="0" borderId="7" xfId="0" applyFont="1" applyBorder="1"/>
    <xf numFmtId="0" fontId="7" fillId="3" borderId="24" xfId="0" applyFont="1" applyFill="1" applyBorder="1"/>
    <xf numFmtId="0" fontId="9" fillId="3" borderId="25" xfId="0" applyFont="1" applyFill="1" applyBorder="1" applyAlignment="1">
      <alignment wrapText="1"/>
    </xf>
    <xf numFmtId="0" fontId="0" fillId="3" borderId="29" xfId="0" applyFill="1" applyBorder="1" applyAlignment="1">
      <alignment wrapText="1"/>
    </xf>
    <xf numFmtId="0" fontId="8" fillId="3" borderId="30" xfId="0" applyFont="1" applyFill="1" applyBorder="1" applyAlignment="1">
      <alignment wrapText="1"/>
    </xf>
    <xf numFmtId="0" fontId="8" fillId="3" borderId="25" xfId="0" applyFont="1" applyFill="1" applyBorder="1" applyAlignment="1">
      <alignment horizontal="center" wrapText="1"/>
    </xf>
    <xf numFmtId="0" fontId="8" fillId="3" borderId="25" xfId="0" applyFont="1" applyFill="1" applyBorder="1" applyAlignment="1">
      <alignment wrapText="1"/>
    </xf>
    <xf numFmtId="6" fontId="18" fillId="3" borderId="29" xfId="1" applyNumberFormat="1" applyFont="1" applyFill="1" applyBorder="1"/>
    <xf numFmtId="6" fontId="18" fillId="3" borderId="26" xfId="1" applyNumberFormat="1" applyFont="1" applyFill="1" applyBorder="1"/>
    <xf numFmtId="165" fontId="10" fillId="0" borderId="0" xfId="0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0" fontId="18" fillId="3" borderId="31" xfId="0" applyFont="1" applyFill="1" applyBorder="1"/>
    <xf numFmtId="0" fontId="9" fillId="3" borderId="32" xfId="0" applyFont="1" applyFill="1" applyBorder="1" applyAlignment="1">
      <alignment wrapText="1"/>
    </xf>
    <xf numFmtId="166" fontId="7" fillId="3" borderId="33" xfId="0" applyNumberFormat="1" applyFont="1" applyFill="1" applyBorder="1" applyAlignment="1">
      <alignment wrapText="1"/>
    </xf>
    <xf numFmtId="0" fontId="8" fillId="3" borderId="34" xfId="0" applyFont="1" applyFill="1" applyBorder="1" applyAlignment="1">
      <alignment wrapText="1"/>
    </xf>
    <xf numFmtId="0" fontId="8" fillId="3" borderId="32" xfId="0" applyFont="1" applyFill="1" applyBorder="1" applyAlignment="1">
      <alignment horizontal="center" wrapText="1"/>
    </xf>
    <xf numFmtId="7" fontId="8" fillId="3" borderId="32" xfId="0" applyNumberFormat="1" applyFont="1" applyFill="1" applyBorder="1" applyAlignment="1">
      <alignment wrapText="1"/>
    </xf>
    <xf numFmtId="6" fontId="18" fillId="3" borderId="33" xfId="1" applyNumberFormat="1" applyFont="1" applyFill="1" applyBorder="1"/>
    <xf numFmtId="0" fontId="8" fillId="0" borderId="36" xfId="0" applyFont="1" applyBorder="1" applyAlignment="1">
      <alignment wrapText="1"/>
    </xf>
    <xf numFmtId="0" fontId="9" fillId="0" borderId="0" xfId="0" applyFont="1" applyBorder="1"/>
    <xf numFmtId="6" fontId="17" fillId="0" borderId="15" xfId="1" applyNumberFormat="1" applyFont="1" applyBorder="1" applyAlignment="1">
      <alignment wrapText="1"/>
    </xf>
    <xf numFmtId="0" fontId="8" fillId="0" borderId="27" xfId="0" applyFont="1" applyBorder="1" applyAlignment="1">
      <alignment wrapText="1"/>
    </xf>
    <xf numFmtId="7" fontId="8" fillId="0" borderId="0" xfId="0" applyNumberFormat="1" applyFont="1" applyBorder="1" applyAlignment="1">
      <alignment horizontal="center" wrapText="1"/>
    </xf>
    <xf numFmtId="6" fontId="1" fillId="0" borderId="15" xfId="1" applyNumberFormat="1" applyFont="1" applyBorder="1" applyAlignment="1">
      <alignment wrapText="1"/>
    </xf>
    <xf numFmtId="1" fontId="8" fillId="0" borderId="0" xfId="0" applyNumberFormat="1" applyFont="1" applyBorder="1" applyAlignment="1">
      <alignment horizontal="center"/>
    </xf>
    <xf numFmtId="0" fontId="8" fillId="0" borderId="37" xfId="0" applyFont="1" applyBorder="1" applyAlignment="1">
      <alignment wrapText="1"/>
    </xf>
    <xf numFmtId="0" fontId="7" fillId="3" borderId="38" xfId="0" applyFont="1" applyFill="1" applyBorder="1"/>
    <xf numFmtId="6" fontId="17" fillId="0" borderId="39" xfId="1" applyNumberFormat="1" applyFont="1" applyBorder="1" applyAlignment="1">
      <alignment wrapText="1"/>
    </xf>
    <xf numFmtId="0" fontId="18" fillId="3" borderId="38" xfId="0" applyFont="1" applyFill="1" applyBorder="1"/>
    <xf numFmtId="3" fontId="8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39" fontId="8" fillId="0" borderId="0" xfId="0" applyNumberFormat="1" applyFont="1" applyBorder="1" applyAlignment="1">
      <alignment horizontal="center"/>
    </xf>
    <xf numFmtId="9" fontId="8" fillId="0" borderId="0" xfId="0" applyNumberFormat="1" applyFont="1" applyBorder="1" applyAlignment="1">
      <alignment horizontal="center" wrapText="1"/>
    </xf>
    <xf numFmtId="166" fontId="8" fillId="0" borderId="0" xfId="0" applyNumberFormat="1" applyFont="1" applyBorder="1" applyAlignment="1">
      <alignment horizontal="center" wrapText="1"/>
    </xf>
    <xf numFmtId="0" fontId="7" fillId="0" borderId="27" xfId="0" applyFont="1" applyBorder="1"/>
    <xf numFmtId="0" fontId="10" fillId="0" borderId="0" xfId="0" applyFont="1" applyBorder="1" applyAlignment="1">
      <alignment horizontal="center" wrapText="1"/>
    </xf>
    <xf numFmtId="7" fontId="10" fillId="0" borderId="0" xfId="0" applyNumberFormat="1" applyFont="1" applyBorder="1" applyAlignment="1">
      <alignment wrapText="1"/>
    </xf>
    <xf numFmtId="0" fontId="12" fillId="0" borderId="0" xfId="0" applyFont="1" applyBorder="1"/>
    <xf numFmtId="0" fontId="8" fillId="0" borderId="0" xfId="0" applyNumberFormat="1" applyFont="1" applyBorder="1" applyAlignment="1">
      <alignment horizontal="center" wrapText="1"/>
    </xf>
    <xf numFmtId="0" fontId="8" fillId="0" borderId="21" xfId="0" applyFont="1" applyBorder="1" applyAlignment="1">
      <alignment wrapText="1"/>
    </xf>
    <xf numFmtId="0" fontId="8" fillId="0" borderId="40" xfId="0" applyNumberFormat="1" applyFont="1" applyBorder="1" applyAlignment="1">
      <alignment wrapText="1"/>
    </xf>
    <xf numFmtId="0" fontId="8" fillId="0" borderId="41" xfId="0" applyNumberFormat="1" applyFont="1" applyBorder="1" applyAlignment="1">
      <alignment wrapText="1"/>
    </xf>
    <xf numFmtId="0" fontId="8" fillId="0" borderId="22" xfId="0" applyNumberFormat="1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7" fontId="8" fillId="0" borderId="22" xfId="0" applyNumberFormat="1" applyFont="1" applyBorder="1" applyAlignment="1">
      <alignment wrapText="1"/>
    </xf>
    <xf numFmtId="6" fontId="17" fillId="0" borderId="40" xfId="1" applyNumberFormat="1" applyFont="1" applyBorder="1" applyAlignment="1">
      <alignment wrapText="1"/>
    </xf>
    <xf numFmtId="6" fontId="17" fillId="0" borderId="23" xfId="1" applyNumberFormat="1" applyFont="1" applyBorder="1" applyAlignment="1">
      <alignment wrapText="1"/>
    </xf>
    <xf numFmtId="0" fontId="20" fillId="0" borderId="27" xfId="0" applyFont="1" applyBorder="1"/>
    <xf numFmtId="9" fontId="11" fillId="0" borderId="0" xfId="0" applyNumberFormat="1" applyFont="1" applyBorder="1" applyAlignment="1">
      <alignment horizontal="center" wrapText="1"/>
    </xf>
    <xf numFmtId="37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right"/>
    </xf>
    <xf numFmtId="0" fontId="21" fillId="0" borderId="0" xfId="0" applyFont="1" applyBorder="1"/>
    <xf numFmtId="7" fontId="18" fillId="0" borderId="0" xfId="0" applyNumberFormat="1" applyFont="1" applyBorder="1" applyAlignment="1">
      <alignment wrapText="1"/>
    </xf>
    <xf numFmtId="0" fontId="19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wrapText="1"/>
    </xf>
    <xf numFmtId="0" fontId="18" fillId="3" borderId="42" xfId="0" applyFont="1" applyFill="1" applyBorder="1"/>
    <xf numFmtId="0" fontId="9" fillId="3" borderId="43" xfId="0" applyFont="1" applyFill="1" applyBorder="1" applyAlignment="1">
      <alignment wrapText="1"/>
    </xf>
    <xf numFmtId="0" fontId="8" fillId="3" borderId="44" xfId="0" applyFont="1" applyFill="1" applyBorder="1" applyAlignment="1">
      <alignment wrapText="1"/>
    </xf>
    <xf numFmtId="7" fontId="8" fillId="3" borderId="43" xfId="0" applyNumberFormat="1" applyFont="1" applyFill="1" applyBorder="1" applyAlignment="1">
      <alignment wrapText="1"/>
    </xf>
    <xf numFmtId="6" fontId="18" fillId="3" borderId="46" xfId="1" applyNumberFormat="1" applyFont="1" applyFill="1" applyBorder="1"/>
    <xf numFmtId="0" fontId="17" fillId="0" borderId="0" xfId="0" applyFont="1" applyBorder="1" applyAlignment="1">
      <alignment horizontal="center" wrapText="1"/>
    </xf>
    <xf numFmtId="0" fontId="8" fillId="0" borderId="27" xfId="0" applyFont="1" applyBorder="1" applyAlignment="1">
      <alignment horizontal="center"/>
    </xf>
    <xf numFmtId="6" fontId="17" fillId="0" borderId="15" xfId="1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165" fontId="10" fillId="0" borderId="22" xfId="0" applyNumberFormat="1" applyFont="1" applyBorder="1" applyAlignment="1">
      <alignment horizontal="center"/>
    </xf>
    <xf numFmtId="1" fontId="16" fillId="0" borderId="22" xfId="0" applyNumberFormat="1" applyFont="1" applyBorder="1" applyAlignment="1">
      <alignment horizontal="center"/>
    </xf>
    <xf numFmtId="6" fontId="16" fillId="0" borderId="23" xfId="1" applyNumberFormat="1" applyFont="1" applyBorder="1" applyAlignment="1">
      <alignment horizontal="center"/>
    </xf>
    <xf numFmtId="0" fontId="8" fillId="0" borderId="19" xfId="0" applyFont="1" applyBorder="1" applyAlignment="1">
      <alignment horizontal="center" wrapText="1"/>
    </xf>
    <xf numFmtId="164" fontId="0" fillId="0" borderId="0" xfId="0" applyNumberFormat="1" applyFill="1" applyBorder="1"/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6" fontId="13" fillId="0" borderId="7" xfId="1" applyNumberFormat="1" applyFont="1" applyBorder="1" applyAlignment="1">
      <alignment horizontal="center" wrapText="1"/>
    </xf>
    <xf numFmtId="6" fontId="25" fillId="0" borderId="7" xfId="1" applyNumberFormat="1" applyFont="1" applyBorder="1" applyAlignment="1">
      <alignment horizontal="center" wrapText="1"/>
    </xf>
    <xf numFmtId="0" fontId="26" fillId="0" borderId="0" xfId="0" applyFont="1" applyAlignment="1">
      <alignment horizontal="left"/>
    </xf>
    <xf numFmtId="0" fontId="9" fillId="0" borderId="0" xfId="0" applyFont="1" applyBorder="1" applyAlignment="1">
      <alignment horizontal="center" wrapText="1"/>
    </xf>
    <xf numFmtId="38" fontId="0" fillId="0" borderId="0" xfId="0" applyNumberFormat="1"/>
    <xf numFmtId="9" fontId="27" fillId="0" borderId="0" xfId="0" applyNumberFormat="1" applyFont="1" applyBorder="1" applyAlignment="1">
      <alignment horizontal="center" wrapText="1"/>
    </xf>
    <xf numFmtId="9" fontId="18" fillId="0" borderId="0" xfId="2" applyFont="1" applyBorder="1" applyAlignment="1">
      <alignment horizontal="center" wrapText="1"/>
    </xf>
    <xf numFmtId="0" fontId="0" fillId="0" borderId="0" xfId="0" applyAlignment="1">
      <alignment horizontal="centerContinuous"/>
    </xf>
    <xf numFmtId="8" fontId="0" fillId="0" borderId="0" xfId="0" applyNumberFormat="1"/>
    <xf numFmtId="7" fontId="8" fillId="0" borderId="22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0" fontId="8" fillId="0" borderId="9" xfId="0" applyFont="1" applyBorder="1" applyAlignment="1"/>
    <xf numFmtId="167" fontId="0" fillId="0" borderId="19" xfId="3" applyNumberFormat="1" applyFont="1" applyBorder="1"/>
    <xf numFmtId="167" fontId="0" fillId="0" borderId="0" xfId="3" applyNumberFormat="1" applyFont="1" applyBorder="1"/>
    <xf numFmtId="167" fontId="0" fillId="0" borderId="27" xfId="3" applyNumberFormat="1" applyFont="1" applyBorder="1"/>
    <xf numFmtId="167" fontId="0" fillId="0" borderId="18" xfId="3" applyNumberFormat="1" applyFont="1" applyBorder="1"/>
    <xf numFmtId="164" fontId="8" fillId="3" borderId="45" xfId="0" applyNumberFormat="1" applyFont="1" applyFill="1" applyBorder="1" applyAlignment="1">
      <alignment wrapText="1"/>
    </xf>
    <xf numFmtId="164" fontId="8" fillId="3" borderId="43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6" fontId="0" fillId="0" borderId="0" xfId="0" applyNumberFormat="1"/>
    <xf numFmtId="0" fontId="0" fillId="0" borderId="0" xfId="0" applyAlignment="1">
      <alignment horizontal="right"/>
    </xf>
    <xf numFmtId="167" fontId="0" fillId="0" borderId="21" xfId="3" applyNumberFormat="1" applyFont="1" applyBorder="1"/>
    <xf numFmtId="14" fontId="0" fillId="0" borderId="0" xfId="0" applyNumberFormat="1"/>
    <xf numFmtId="164" fontId="0" fillId="0" borderId="0" xfId="0" applyNumberFormat="1"/>
    <xf numFmtId="0" fontId="8" fillId="0" borderId="0" xfId="0" applyFont="1" applyBorder="1" applyAlignment="1">
      <alignment horizontal="center" wrapText="1"/>
    </xf>
    <xf numFmtId="167" fontId="0" fillId="0" borderId="18" xfId="0" applyNumberFormat="1" applyBorder="1"/>
    <xf numFmtId="167" fontId="0" fillId="0" borderId="19" xfId="0" applyNumberFormat="1" applyBorder="1"/>
    <xf numFmtId="167" fontId="0" fillId="0" borderId="27" xfId="0" applyNumberFormat="1" applyBorder="1"/>
    <xf numFmtId="167" fontId="0" fillId="0" borderId="0" xfId="0" applyNumberFormat="1" applyBorder="1"/>
    <xf numFmtId="0" fontId="23" fillId="2" borderId="12" xfId="0" applyFont="1" applyFill="1" applyBorder="1" applyAlignment="1">
      <alignment horizontal="center"/>
    </xf>
    <xf numFmtId="0" fontId="8" fillId="3" borderId="49" xfId="0" applyFont="1" applyFill="1" applyBorder="1" applyAlignment="1">
      <alignment wrapText="1"/>
    </xf>
    <xf numFmtId="0" fontId="8" fillId="3" borderId="19" xfId="0" applyFont="1" applyFill="1" applyBorder="1" applyAlignment="1">
      <alignment horizontal="center" wrapText="1"/>
    </xf>
    <xf numFmtId="6" fontId="18" fillId="3" borderId="48" xfId="1" applyNumberFormat="1" applyFont="1" applyFill="1" applyBorder="1"/>
    <xf numFmtId="0" fontId="8" fillId="3" borderId="9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wrapText="1"/>
    </xf>
    <xf numFmtId="6" fontId="18" fillId="3" borderId="10" xfId="1" applyNumberFormat="1" applyFont="1" applyFill="1" applyBorder="1"/>
    <xf numFmtId="6" fontId="17" fillId="0" borderId="20" xfId="1" applyNumberFormat="1" applyFont="1" applyBorder="1" applyAlignment="1">
      <alignment wrapText="1"/>
    </xf>
    <xf numFmtId="166" fontId="8" fillId="0" borderId="27" xfId="0" applyNumberFormat="1" applyFont="1" applyBorder="1" applyAlignment="1">
      <alignment wrapText="1"/>
    </xf>
    <xf numFmtId="7" fontId="8" fillId="0" borderId="27" xfId="0" applyNumberFormat="1" applyFont="1" applyBorder="1" applyAlignment="1">
      <alignment wrapText="1"/>
    </xf>
    <xf numFmtId="38" fontId="8" fillId="0" borderId="0" xfId="3" applyNumberFormat="1" applyFont="1" applyBorder="1" applyAlignment="1">
      <alignment horizontal="center" wrapText="1"/>
    </xf>
    <xf numFmtId="38" fontId="8" fillId="0" borderId="0" xfId="3" applyNumberFormat="1" applyFont="1" applyBorder="1" applyAlignment="1">
      <alignment horizontal="center"/>
    </xf>
    <xf numFmtId="5" fontId="2" fillId="0" borderId="0" xfId="0" applyNumberFormat="1" applyFont="1"/>
    <xf numFmtId="5" fontId="0" fillId="0" borderId="0" xfId="0" applyNumberFormat="1"/>
    <xf numFmtId="0" fontId="36" fillId="0" borderId="0" xfId="0" applyFont="1"/>
    <xf numFmtId="0" fontId="0" fillId="0" borderId="0" xfId="0" applyBorder="1" applyAlignment="1">
      <alignment horizontal="right"/>
    </xf>
    <xf numFmtId="166" fontId="0" fillId="0" borderId="0" xfId="0" applyNumberFormat="1"/>
    <xf numFmtId="7" fontId="0" fillId="0" borderId="0" xfId="0" applyNumberFormat="1"/>
    <xf numFmtId="167" fontId="0" fillId="0" borderId="14" xfId="3" applyNumberFormat="1" applyFont="1" applyBorder="1"/>
    <xf numFmtId="167" fontId="2" fillId="0" borderId="24" xfId="3" applyNumberFormat="1" applyFont="1" applyBorder="1"/>
    <xf numFmtId="167" fontId="0" fillId="0" borderId="14" xfId="0" applyNumberFormat="1" applyBorder="1"/>
    <xf numFmtId="167" fontId="2" fillId="0" borderId="12" xfId="0" applyNumberFormat="1" applyFont="1" applyBorder="1"/>
    <xf numFmtId="0" fontId="2" fillId="0" borderId="0" xfId="0" quotePrefix="1" applyFont="1" applyAlignment="1">
      <alignment horizontal="centerContinuous"/>
    </xf>
    <xf numFmtId="168" fontId="0" fillId="0" borderId="0" xfId="0" applyNumberFormat="1"/>
    <xf numFmtId="169" fontId="0" fillId="0" borderId="0" xfId="0" applyNumberFormat="1"/>
    <xf numFmtId="6" fontId="8" fillId="0" borderId="7" xfId="1" applyNumberFormat="1" applyFont="1" applyBorder="1" applyAlignment="1">
      <alignment wrapText="1"/>
    </xf>
    <xf numFmtId="0" fontId="8" fillId="0" borderId="0" xfId="0" applyFont="1" applyBorder="1"/>
    <xf numFmtId="0" fontId="0" fillId="0" borderId="17" xfId="0" applyBorder="1"/>
    <xf numFmtId="6" fontId="2" fillId="0" borderId="13" xfId="0" applyNumberFormat="1" applyFont="1" applyBorder="1"/>
    <xf numFmtId="6" fontId="0" fillId="0" borderId="14" xfId="0" applyNumberFormat="1" applyBorder="1"/>
    <xf numFmtId="6" fontId="2" fillId="0" borderId="14" xfId="0" applyNumberFormat="1" applyFont="1" applyBorder="1"/>
    <xf numFmtId="6" fontId="0" fillId="0" borderId="17" xfId="0" applyNumberFormat="1" applyBorder="1"/>
    <xf numFmtId="6" fontId="2" fillId="3" borderId="12" xfId="0" applyNumberFormat="1" applyFont="1" applyFill="1" applyBorder="1"/>
    <xf numFmtId="0" fontId="2" fillId="2" borderId="24" xfId="0" applyFont="1" applyFill="1" applyBorder="1" applyAlignment="1">
      <alignment horizontal="centerContinuous"/>
    </xf>
    <xf numFmtId="0" fontId="8" fillId="0" borderId="8" xfId="0" applyFont="1" applyBorder="1" applyAlignment="1">
      <alignment horizontal="right" wrapText="1"/>
    </xf>
    <xf numFmtId="9" fontId="8" fillId="0" borderId="0" xfId="0" applyNumberFormat="1" applyFont="1" applyBorder="1"/>
    <xf numFmtId="7" fontId="8" fillId="4" borderId="0" xfId="0" applyNumberFormat="1" applyFont="1" applyFill="1" applyBorder="1" applyAlignment="1">
      <alignment horizontal="right"/>
    </xf>
    <xf numFmtId="7" fontId="8" fillId="4" borderId="0" xfId="0" applyNumberFormat="1" applyFont="1" applyFill="1" applyBorder="1"/>
    <xf numFmtId="7" fontId="8" fillId="0" borderId="8" xfId="0" applyNumberFormat="1" applyFont="1" applyBorder="1" applyAlignment="1">
      <alignment horizontal="right" wrapText="1"/>
    </xf>
    <xf numFmtId="170" fontId="0" fillId="0" borderId="0" xfId="0" applyNumberFormat="1"/>
    <xf numFmtId="0" fontId="2" fillId="0" borderId="19" xfId="0" applyFont="1" applyBorder="1" applyAlignment="1">
      <alignment horizontal="centerContinuous"/>
    </xf>
    <xf numFmtId="0" fontId="29" fillId="0" borderId="27" xfId="0" applyFont="1" applyBorder="1" applyAlignment="1">
      <alignment horizontal="right"/>
    </xf>
    <xf numFmtId="0" fontId="29" fillId="0" borderId="0" xfId="0" applyFont="1" applyBorder="1" applyAlignment="1">
      <alignment horizontal="right"/>
    </xf>
    <xf numFmtId="9" fontId="0" fillId="0" borderId="15" xfId="2" applyFont="1" applyBorder="1"/>
    <xf numFmtId="9" fontId="0" fillId="0" borderId="23" xfId="2" applyFont="1" applyBorder="1"/>
    <xf numFmtId="0" fontId="8" fillId="0" borderId="0" xfId="0" applyFont="1" applyBorder="1" applyAlignment="1">
      <alignment horizontal="center" wrapText="1"/>
    </xf>
    <xf numFmtId="0" fontId="2" fillId="0" borderId="21" xfId="0" applyFont="1" applyBorder="1"/>
    <xf numFmtId="0" fontId="5" fillId="0" borderId="14" xfId="0" applyFont="1" applyBorder="1"/>
    <xf numFmtId="0" fontId="2" fillId="0" borderId="17" xfId="0" applyFont="1" applyBorder="1"/>
    <xf numFmtId="0" fontId="0" fillId="0" borderId="0" xfId="0" applyAlignment="1">
      <alignment horizontal="left"/>
    </xf>
    <xf numFmtId="9" fontId="18" fillId="0" borderId="19" xfId="0" applyNumberFormat="1" applyFont="1" applyBorder="1" applyAlignment="1">
      <alignment horizontal="center" wrapText="1"/>
    </xf>
    <xf numFmtId="0" fontId="18" fillId="0" borderId="19" xfId="0" applyFont="1" applyBorder="1" applyAlignment="1">
      <alignment horizontal="left" wrapText="1"/>
    </xf>
    <xf numFmtId="0" fontId="8" fillId="0" borderId="0" xfId="0" applyFont="1" applyBorder="1" applyAlignment="1">
      <alignment horizontal="center" wrapText="1"/>
    </xf>
    <xf numFmtId="0" fontId="0" fillId="0" borderId="0" xfId="0" applyNumberFormat="1"/>
    <xf numFmtId="44" fontId="0" fillId="0" borderId="0" xfId="1" applyFont="1"/>
    <xf numFmtId="0" fontId="0" fillId="0" borderId="0" xfId="0" pivotButton="1"/>
    <xf numFmtId="167" fontId="2" fillId="3" borderId="24" xfId="0" applyNumberFormat="1" applyFont="1" applyFill="1" applyBorder="1"/>
    <xf numFmtId="167" fontId="2" fillId="3" borderId="25" xfId="0" applyNumberFormat="1" applyFont="1" applyFill="1" applyBorder="1"/>
    <xf numFmtId="167" fontId="2" fillId="3" borderId="26" xfId="0" applyNumberFormat="1" applyFont="1" applyFill="1" applyBorder="1"/>
    <xf numFmtId="167" fontId="0" fillId="0" borderId="15" xfId="3" applyNumberFormat="1" applyFont="1" applyBorder="1"/>
    <xf numFmtId="167" fontId="0" fillId="0" borderId="13" xfId="0" applyNumberFormat="1" applyBorder="1"/>
    <xf numFmtId="5" fontId="8" fillId="0" borderId="0" xfId="0" applyNumberFormat="1" applyFont="1" applyBorder="1" applyAlignment="1">
      <alignment wrapText="1"/>
    </xf>
    <xf numFmtId="7" fontId="8" fillId="0" borderId="27" xfId="0" applyNumberFormat="1" applyFont="1" applyBorder="1"/>
    <xf numFmtId="1" fontId="0" fillId="0" borderId="14" xfId="0" applyNumberFormat="1" applyBorder="1" applyAlignment="1">
      <alignment horizontal="center"/>
    </xf>
    <xf numFmtId="1" fontId="0" fillId="0" borderId="14" xfId="0" applyNumberFormat="1" applyFont="1" applyBorder="1" applyAlignment="1">
      <alignment horizontal="center"/>
    </xf>
    <xf numFmtId="1" fontId="0" fillId="3" borderId="12" xfId="0" applyNumberFormat="1" applyFill="1" applyBorder="1" applyAlignment="1">
      <alignment horizontal="center"/>
    </xf>
    <xf numFmtId="1" fontId="0" fillId="0" borderId="13" xfId="0" applyNumberFormat="1" applyBorder="1"/>
    <xf numFmtId="1" fontId="2" fillId="0" borderId="17" xfId="0" applyNumberFormat="1" applyFont="1" applyBorder="1"/>
    <xf numFmtId="9" fontId="0" fillId="0" borderId="0" xfId="7" applyFont="1"/>
    <xf numFmtId="9" fontId="0" fillId="0" borderId="0" xfId="7" applyFont="1" applyAlignment="1">
      <alignment wrapText="1"/>
    </xf>
    <xf numFmtId="171" fontId="0" fillId="0" borderId="0" xfId="6" applyNumberFormat="1" applyFont="1"/>
    <xf numFmtId="0" fontId="0" fillId="5" borderId="0" xfId="0" applyFill="1"/>
    <xf numFmtId="0" fontId="0" fillId="6" borderId="0" xfId="0" applyFill="1"/>
    <xf numFmtId="44" fontId="0" fillId="0" borderId="0" xfId="6" applyFont="1"/>
    <xf numFmtId="167" fontId="0" fillId="6" borderId="0" xfId="5" applyNumberFormat="1" applyFont="1" applyFill="1"/>
    <xf numFmtId="0" fontId="39" fillId="0" borderId="0" xfId="0" applyFont="1"/>
    <xf numFmtId="0" fontId="39" fillId="0" borderId="0" xfId="0" applyFont="1" applyAlignment="1">
      <alignment wrapText="1"/>
    </xf>
    <xf numFmtId="9" fontId="39" fillId="0" borderId="0" xfId="7" applyFont="1" applyAlignment="1">
      <alignment wrapText="1"/>
    </xf>
    <xf numFmtId="171" fontId="39" fillId="0" borderId="0" xfId="6" applyNumberFormat="1" applyFont="1" applyAlignment="1">
      <alignment wrapText="1"/>
    </xf>
    <xf numFmtId="0" fontId="39" fillId="5" borderId="0" xfId="0" applyFont="1" applyFill="1"/>
    <xf numFmtId="44" fontId="39" fillId="0" borderId="0" xfId="6" applyFont="1"/>
    <xf numFmtId="167" fontId="39" fillId="0" borderId="0" xfId="5" applyNumberFormat="1" applyFont="1"/>
    <xf numFmtId="9" fontId="0" fillId="6" borderId="0" xfId="7" applyFont="1" applyFill="1"/>
    <xf numFmtId="167" fontId="0" fillId="0" borderId="0" xfId="5" applyNumberFormat="1" applyFont="1" applyFill="1" applyAlignment="1">
      <alignment wrapText="1"/>
    </xf>
    <xf numFmtId="167" fontId="0" fillId="0" borderId="0" xfId="5" applyNumberFormat="1" applyFont="1"/>
    <xf numFmtId="44" fontId="0" fillId="6" borderId="0" xfId="6" applyFont="1" applyFill="1"/>
    <xf numFmtId="167" fontId="0" fillId="0" borderId="0" xfId="0" applyNumberFormat="1"/>
    <xf numFmtId="9" fontId="0" fillId="0" borderId="0" xfId="7" applyFont="1" applyFill="1"/>
    <xf numFmtId="0" fontId="0" fillId="0" borderId="50" xfId="0" applyBorder="1"/>
    <xf numFmtId="0" fontId="0" fillId="0" borderId="51" xfId="0" applyBorder="1"/>
    <xf numFmtId="9" fontId="0" fillId="0" borderId="51" xfId="7" applyFont="1" applyBorder="1"/>
    <xf numFmtId="9" fontId="0" fillId="0" borderId="51" xfId="7" applyFont="1" applyBorder="1" applyAlignment="1">
      <alignment wrapText="1"/>
    </xf>
    <xf numFmtId="171" fontId="0" fillId="0" borderId="52" xfId="6" applyNumberFormat="1" applyFont="1" applyBorder="1"/>
    <xf numFmtId="0" fontId="0" fillId="0" borderId="53" xfId="0" applyBorder="1"/>
    <xf numFmtId="9" fontId="0" fillId="0" borderId="0" xfId="7" applyFont="1" applyBorder="1"/>
    <xf numFmtId="9" fontId="0" fillId="0" borderId="0" xfId="7" applyFont="1" applyBorder="1" applyAlignment="1">
      <alignment wrapText="1"/>
    </xf>
    <xf numFmtId="171" fontId="0" fillId="0" borderId="54" xfId="6" applyNumberFormat="1" applyFont="1" applyBorder="1"/>
    <xf numFmtId="0" fontId="39" fillId="0" borderId="55" xfId="0" applyFont="1" applyBorder="1"/>
    <xf numFmtId="0" fontId="39" fillId="0" borderId="56" xfId="0" applyFont="1" applyBorder="1"/>
    <xf numFmtId="9" fontId="39" fillId="0" borderId="56" xfId="7" applyFont="1" applyBorder="1"/>
    <xf numFmtId="9" fontId="39" fillId="0" borderId="56" xfId="7" applyFont="1" applyBorder="1" applyAlignment="1">
      <alignment wrapText="1"/>
    </xf>
    <xf numFmtId="171" fontId="39" fillId="0" borderId="57" xfId="6" applyNumberFormat="1" applyFont="1" applyBorder="1"/>
    <xf numFmtId="0" fontId="39" fillId="0" borderId="42" xfId="0" applyFont="1" applyBorder="1"/>
    <xf numFmtId="0" fontId="39" fillId="0" borderId="43" xfId="0" applyFont="1" applyBorder="1"/>
    <xf numFmtId="9" fontId="39" fillId="0" borderId="43" xfId="7" applyFont="1" applyBorder="1"/>
    <xf numFmtId="9" fontId="39" fillId="0" borderId="43" xfId="7" applyFont="1" applyBorder="1" applyAlignment="1">
      <alignment wrapText="1"/>
    </xf>
    <xf numFmtId="171" fontId="39" fillId="0" borderId="43" xfId="6" applyNumberFormat="1" applyFont="1" applyBorder="1"/>
    <xf numFmtId="44" fontId="39" fillId="0" borderId="43" xfId="6" applyFont="1" applyBorder="1"/>
    <xf numFmtId="167" fontId="39" fillId="0" borderId="43" xfId="5" applyNumberFormat="1" applyFont="1" applyBorder="1"/>
    <xf numFmtId="44" fontId="39" fillId="0" borderId="58" xfId="6" applyFont="1" applyBorder="1"/>
    <xf numFmtId="171" fontId="0" fillId="0" borderId="0" xfId="6" applyNumberFormat="1" applyFont="1" applyBorder="1"/>
    <xf numFmtId="44" fontId="0" fillId="0" borderId="0" xfId="6" applyFont="1" applyBorder="1"/>
    <xf numFmtId="167" fontId="0" fillId="0" borderId="0" xfId="5" applyNumberFormat="1" applyFont="1" applyBorder="1"/>
    <xf numFmtId="44" fontId="0" fillId="0" borderId="54" xfId="6" applyFont="1" applyBorder="1"/>
    <xf numFmtId="167" fontId="0" fillId="0" borderId="0" xfId="7" applyNumberFormat="1" applyFont="1" applyBorder="1" applyAlignment="1">
      <alignment wrapText="1"/>
    </xf>
    <xf numFmtId="167" fontId="0" fillId="0" borderId="0" xfId="5" applyNumberFormat="1" applyFont="1" applyBorder="1" applyAlignment="1">
      <alignment wrapText="1"/>
    </xf>
    <xf numFmtId="171" fontId="0" fillId="0" borderId="0" xfId="6" applyNumberFormat="1" applyFont="1" applyBorder="1" applyAlignment="1">
      <alignment wrapText="1"/>
    </xf>
    <xf numFmtId="0" fontId="0" fillId="0" borderId="55" xfId="0" applyBorder="1"/>
    <xf numFmtId="0" fontId="0" fillId="0" borderId="56" xfId="0" applyBorder="1"/>
    <xf numFmtId="9" fontId="0" fillId="0" borderId="56" xfId="7" applyFont="1" applyBorder="1"/>
    <xf numFmtId="9" fontId="0" fillId="0" borderId="56" xfId="7" applyFont="1" applyBorder="1" applyAlignment="1">
      <alignment wrapText="1"/>
    </xf>
    <xf numFmtId="171" fontId="0" fillId="0" borderId="56" xfId="6" applyNumberFormat="1" applyFont="1" applyBorder="1"/>
    <xf numFmtId="44" fontId="0" fillId="0" borderId="56" xfId="6" applyFont="1" applyBorder="1"/>
    <xf numFmtId="167" fontId="0" fillId="0" borderId="56" xfId="5" applyNumberFormat="1" applyFont="1" applyBorder="1"/>
    <xf numFmtId="44" fontId="0" fillId="0" borderId="57" xfId="6" applyFont="1" applyBorder="1"/>
    <xf numFmtId="3" fontId="0" fillId="0" borderId="0" xfId="0" applyNumberFormat="1"/>
    <xf numFmtId="44" fontId="0" fillId="0" borderId="0" xfId="0" applyNumberFormat="1"/>
    <xf numFmtId="39" fontId="8" fillId="0" borderId="0" xfId="0" applyNumberFormat="1" applyFont="1" applyBorder="1"/>
    <xf numFmtId="0" fontId="9" fillId="0" borderId="5" xfId="0" applyFont="1" applyBorder="1" applyAlignment="1">
      <alignment horizontal="center" wrapText="1"/>
    </xf>
    <xf numFmtId="9" fontId="11" fillId="0" borderId="5" xfId="0" applyNumberFormat="1" applyFont="1" applyBorder="1" applyAlignment="1">
      <alignment horizontal="center" wrapText="1"/>
    </xf>
    <xf numFmtId="0" fontId="5" fillId="0" borderId="0" xfId="0" applyFont="1" applyAlignment="1">
      <alignment horizontal="right"/>
    </xf>
    <xf numFmtId="9" fontId="0" fillId="0" borderId="27" xfId="2" applyFont="1" applyBorder="1"/>
    <xf numFmtId="9" fontId="0" fillId="0" borderId="14" xfId="2" applyFont="1" applyBorder="1"/>
    <xf numFmtId="9" fontId="0" fillId="0" borderId="0" xfId="2" applyFont="1" applyBorder="1"/>
    <xf numFmtId="9" fontId="0" fillId="0" borderId="13" xfId="2" applyFont="1" applyBorder="1"/>
    <xf numFmtId="167" fontId="2" fillId="0" borderId="12" xfId="3" applyNumberFormat="1" applyFont="1" applyBorder="1"/>
    <xf numFmtId="0" fontId="2" fillId="0" borderId="0" xfId="0" quotePrefix="1" applyFont="1" applyAlignment="1">
      <alignment horizontal="left"/>
    </xf>
    <xf numFmtId="0" fontId="8" fillId="0" borderId="0" xfId="0" applyFont="1" applyBorder="1" applyAlignment="1">
      <alignment horizontal="center" wrapText="1"/>
    </xf>
    <xf numFmtId="0" fontId="55" fillId="0" borderId="0" xfId="0" applyFont="1"/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44" fontId="0" fillId="0" borderId="0" xfId="0" applyNumberFormat="1"/>
    <xf numFmtId="44" fontId="0" fillId="0" borderId="0" xfId="1" applyFont="1"/>
    <xf numFmtId="0" fontId="7" fillId="4" borderId="5" xfId="0" applyFont="1" applyFill="1" applyBorder="1"/>
    <xf numFmtId="0" fontId="7" fillId="4" borderId="5" xfId="0" applyFont="1" applyFill="1" applyBorder="1" applyAlignment="1">
      <alignment wrapText="1"/>
    </xf>
    <xf numFmtId="0" fontId="8" fillId="4" borderId="68" xfId="0" applyFont="1" applyFill="1" applyBorder="1" applyAlignment="1">
      <alignment wrapText="1"/>
    </xf>
    <xf numFmtId="0" fontId="0" fillId="4" borderId="0" xfId="0" applyFill="1" applyBorder="1"/>
    <xf numFmtId="0" fontId="7" fillId="4" borderId="8" xfId="0" applyFont="1" applyFill="1" applyBorder="1"/>
    <xf numFmtId="6" fontId="5" fillId="0" borderId="14" xfId="0" applyNumberFormat="1" applyFont="1" applyBorder="1"/>
    <xf numFmtId="8" fontId="5" fillId="0" borderId="14" xfId="0" applyNumberFormat="1" applyFont="1" applyBorder="1"/>
    <xf numFmtId="0" fontId="13" fillId="0" borderId="37" xfId="0" applyFont="1" applyBorder="1" applyAlignment="1"/>
    <xf numFmtId="0" fontId="56" fillId="0" borderId="0" xfId="0" applyFont="1" applyBorder="1" applyAlignment="1">
      <alignment horizontal="center"/>
    </xf>
    <xf numFmtId="166" fontId="34" fillId="0" borderId="18" xfId="0" applyNumberFormat="1" applyFont="1" applyBorder="1" applyAlignment="1">
      <alignment wrapText="1"/>
    </xf>
    <xf numFmtId="164" fontId="31" fillId="0" borderId="0" xfId="0" applyNumberFormat="1" applyFont="1" applyBorder="1" applyAlignment="1">
      <alignment wrapText="1"/>
    </xf>
    <xf numFmtId="164" fontId="31" fillId="0" borderId="16" xfId="0" applyNumberFormat="1" applyFont="1" applyBorder="1" applyAlignment="1">
      <alignment wrapText="1"/>
    </xf>
    <xf numFmtId="164" fontId="8" fillId="0" borderId="0" xfId="0" applyNumberFormat="1" applyFont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64" fontId="31" fillId="3" borderId="19" xfId="0" applyNumberFormat="1" applyFont="1" applyFill="1" applyBorder="1" applyAlignment="1">
      <alignment wrapText="1"/>
    </xf>
    <xf numFmtId="164" fontId="22" fillId="0" borderId="0" xfId="0" applyNumberFormat="1" applyFont="1" applyBorder="1"/>
    <xf numFmtId="164" fontId="37" fillId="0" borderId="0" xfId="0" applyNumberFormat="1" applyFont="1" applyBorder="1"/>
    <xf numFmtId="164" fontId="31" fillId="0" borderId="22" xfId="0" applyNumberFormat="1" applyFont="1" applyBorder="1" applyAlignment="1">
      <alignment wrapText="1"/>
    </xf>
    <xf numFmtId="164" fontId="31" fillId="3" borderId="1" xfId="0" applyNumberFormat="1" applyFont="1" applyFill="1" applyBorder="1" applyAlignment="1">
      <alignment wrapText="1"/>
    </xf>
    <xf numFmtId="164" fontId="22" fillId="0" borderId="0" xfId="0" applyNumberFormat="1" applyFont="1" applyBorder="1" applyAlignment="1">
      <alignment wrapText="1"/>
    </xf>
    <xf numFmtId="164" fontId="31" fillId="0" borderId="1" xfId="0" applyNumberFormat="1" applyFont="1" applyBorder="1" applyAlignment="1">
      <alignment wrapText="1"/>
    </xf>
    <xf numFmtId="164" fontId="32" fillId="3" borderId="3" xfId="0" applyNumberFormat="1" applyFont="1" applyFill="1" applyBorder="1" applyAlignment="1">
      <alignment wrapText="1"/>
    </xf>
    <xf numFmtId="164" fontId="31" fillId="0" borderId="0" xfId="0" applyNumberFormat="1" applyFont="1" applyBorder="1"/>
    <xf numFmtId="164" fontId="31" fillId="3" borderId="3" xfId="0" applyNumberFormat="1" applyFont="1" applyFill="1" applyBorder="1" applyAlignment="1">
      <alignment wrapText="1"/>
    </xf>
    <xf numFmtId="164" fontId="8" fillId="0" borderId="0" xfId="0" applyNumberFormat="1" applyFont="1" applyBorder="1"/>
    <xf numFmtId="164" fontId="32" fillId="3" borderId="3" xfId="0" applyNumberFormat="1" applyFont="1" applyFill="1" applyBorder="1"/>
    <xf numFmtId="164" fontId="34" fillId="0" borderId="0" xfId="0" applyNumberFormat="1" applyFont="1" applyBorder="1"/>
    <xf numFmtId="164" fontId="10" fillId="0" borderId="0" xfId="0" applyNumberFormat="1" applyFont="1" applyBorder="1" applyAlignment="1">
      <alignment wrapText="1"/>
    </xf>
    <xf numFmtId="164" fontId="8" fillId="0" borderId="0" xfId="0" applyNumberFormat="1" applyFont="1" applyBorder="1" applyAlignment="1">
      <alignment wrapText="1"/>
    </xf>
    <xf numFmtId="164" fontId="31" fillId="3" borderId="25" xfId="0" applyNumberFormat="1" applyFont="1" applyFill="1" applyBorder="1" applyAlignment="1">
      <alignment wrapText="1"/>
    </xf>
    <xf numFmtId="164" fontId="18" fillId="0" borderId="0" xfId="0" applyNumberFormat="1" applyFont="1" applyBorder="1" applyAlignment="1">
      <alignment wrapText="1"/>
    </xf>
    <xf numFmtId="164" fontId="34" fillId="0" borderId="0" xfId="0" applyNumberFormat="1" applyFont="1" applyBorder="1" applyAlignment="1">
      <alignment wrapText="1"/>
    </xf>
    <xf numFmtId="164" fontId="35" fillId="0" borderId="0" xfId="0" applyNumberFormat="1" applyFont="1" applyBorder="1" applyAlignment="1">
      <alignment wrapText="1"/>
    </xf>
    <xf numFmtId="164" fontId="56" fillId="0" borderId="0" xfId="0" applyNumberFormat="1" applyFont="1" applyBorder="1" applyAlignment="1">
      <alignment wrapText="1"/>
    </xf>
    <xf numFmtId="164" fontId="31" fillId="3" borderId="43" xfId="0" applyNumberFormat="1" applyFont="1" applyFill="1" applyBorder="1" applyAlignment="1">
      <alignment wrapText="1"/>
    </xf>
    <xf numFmtId="164" fontId="33" fillId="0" borderId="0" xfId="0" applyNumberFormat="1" applyFont="1"/>
    <xf numFmtId="6" fontId="8" fillId="0" borderId="0" xfId="0" applyNumberFormat="1" applyFont="1" applyBorder="1" applyAlignment="1">
      <alignment wrapText="1"/>
    </xf>
    <xf numFmtId="6" fontId="8" fillId="0" borderId="1" xfId="0" applyNumberFormat="1" applyFont="1" applyBorder="1" applyAlignment="1">
      <alignment wrapText="1"/>
    </xf>
    <xf numFmtId="6" fontId="8" fillId="0" borderId="16" xfId="0" applyNumberFormat="1" applyFont="1" applyBorder="1" applyAlignment="1">
      <alignment wrapText="1"/>
    </xf>
    <xf numFmtId="6" fontId="8" fillId="0" borderId="0" xfId="0" applyNumberFormat="1" applyFont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8" fillId="3" borderId="32" xfId="0" applyNumberFormat="1" applyFont="1" applyFill="1" applyBorder="1" applyAlignment="1">
      <alignment wrapText="1"/>
    </xf>
    <xf numFmtId="6" fontId="8" fillId="0" borderId="0" xfId="0" applyNumberFormat="1" applyFont="1" applyBorder="1"/>
    <xf numFmtId="6" fontId="8" fillId="3" borderId="3" xfId="0" applyNumberFormat="1" applyFont="1" applyFill="1" applyBorder="1" applyAlignment="1">
      <alignment wrapText="1"/>
    </xf>
    <xf numFmtId="6" fontId="8" fillId="0" borderId="0" xfId="3" applyNumberFormat="1" applyFont="1" applyBorder="1" applyAlignment="1">
      <alignment wrapText="1"/>
    </xf>
    <xf numFmtId="6" fontId="7" fillId="3" borderId="3" xfId="0" applyNumberFormat="1" applyFont="1" applyFill="1" applyBorder="1" applyAlignment="1">
      <alignment wrapText="1"/>
    </xf>
    <xf numFmtId="6" fontId="8" fillId="0" borderId="16" xfId="0" applyNumberFormat="1" applyFont="1" applyBorder="1"/>
    <xf numFmtId="6" fontId="7" fillId="3" borderId="3" xfId="0" applyNumberFormat="1" applyFont="1" applyFill="1" applyBorder="1"/>
    <xf numFmtId="6" fontId="10" fillId="0" borderId="0" xfId="0" applyNumberFormat="1" applyFont="1" applyBorder="1" applyAlignment="1">
      <alignment wrapText="1"/>
    </xf>
    <xf numFmtId="6" fontId="8" fillId="0" borderId="22" xfId="0" applyNumberFormat="1" applyFont="1" applyBorder="1" applyAlignment="1">
      <alignment wrapText="1"/>
    </xf>
    <xf numFmtId="6" fontId="8" fillId="3" borderId="25" xfId="0" applyNumberFormat="1" applyFont="1" applyFill="1" applyBorder="1" applyAlignment="1">
      <alignment wrapText="1"/>
    </xf>
    <xf numFmtId="6" fontId="18" fillId="0" borderId="0" xfId="0" applyNumberFormat="1" applyFont="1" applyBorder="1" applyAlignment="1">
      <alignment wrapText="1"/>
    </xf>
    <xf numFmtId="6" fontId="8" fillId="0" borderId="0" xfId="0" applyNumberFormat="1" applyFont="1" applyBorder="1" applyAlignment="1">
      <alignment horizontal="right"/>
    </xf>
    <xf numFmtId="6" fontId="8" fillId="4" borderId="0" xfId="0" applyNumberFormat="1" applyFont="1" applyFill="1" applyBorder="1"/>
    <xf numFmtId="6" fontId="8" fillId="4" borderId="0" xfId="0" applyNumberFormat="1" applyFont="1" applyFill="1" applyBorder="1" applyAlignment="1">
      <alignment horizontal="right"/>
    </xf>
    <xf numFmtId="6" fontId="8" fillId="3" borderId="43" xfId="0" applyNumberFormat="1" applyFont="1" applyFill="1" applyBorder="1" applyAlignment="1">
      <alignment wrapText="1"/>
    </xf>
    <xf numFmtId="164" fontId="34" fillId="0" borderId="16" xfId="0" applyNumberFormat="1" applyFont="1" applyBorder="1"/>
    <xf numFmtId="167" fontId="0" fillId="0" borderId="21" xfId="0" applyNumberFormat="1" applyBorder="1"/>
    <xf numFmtId="37" fontId="0" fillId="0" borderId="14" xfId="0" applyNumberFormat="1" applyFont="1" applyBorder="1" applyAlignment="1">
      <alignment horizontal="center"/>
    </xf>
    <xf numFmtId="37" fontId="0" fillId="0" borderId="14" xfId="0" applyNumberFormat="1" applyBorder="1" applyAlignment="1">
      <alignment horizontal="center"/>
    </xf>
    <xf numFmtId="171" fontId="57" fillId="0" borderId="0" xfId="6" applyNumberFormat="1" applyFont="1" applyAlignment="1">
      <alignment horizontal="right"/>
    </xf>
    <xf numFmtId="0" fontId="0" fillId="0" borderId="51" xfId="0" applyFill="1" applyBorder="1" applyAlignment="1">
      <alignment horizontal="right"/>
    </xf>
    <xf numFmtId="164" fontId="0" fillId="0" borderId="52" xfId="0" applyNumberFormat="1" applyBorder="1"/>
    <xf numFmtId="164" fontId="0" fillId="0" borderId="54" xfId="0" applyNumberFormat="1" applyBorder="1"/>
    <xf numFmtId="0" fontId="0" fillId="0" borderId="56" xfId="0" applyBorder="1" applyAlignment="1">
      <alignment horizontal="right"/>
    </xf>
    <xf numFmtId="164" fontId="0" fillId="0" borderId="57" xfId="0" applyNumberFormat="1" applyBorder="1"/>
    <xf numFmtId="164" fontId="5" fillId="0" borderId="54" xfId="0" applyNumberFormat="1" applyFont="1" applyBorder="1"/>
    <xf numFmtId="0" fontId="0" fillId="2" borderId="17" xfId="0" applyFill="1" applyBorder="1" applyAlignment="1">
      <alignment horizontal="center"/>
    </xf>
    <xf numFmtId="164" fontId="22" fillId="0" borderId="19" xfId="0" applyNumberFormat="1" applyFont="1" applyBorder="1" applyAlignment="1">
      <alignment wrapText="1"/>
    </xf>
    <xf numFmtId="9" fontId="8" fillId="0" borderId="8" xfId="0" applyNumberFormat="1" applyFont="1" applyBorder="1" applyAlignment="1">
      <alignment wrapText="1"/>
    </xf>
    <xf numFmtId="164" fontId="34" fillId="0" borderId="0" xfId="0" applyNumberFormat="1" applyFont="1" applyBorder="1" applyAlignment="1">
      <alignment horizontal="right"/>
    </xf>
    <xf numFmtId="164" fontId="34" fillId="4" borderId="0" xfId="0" applyNumberFormat="1" applyFont="1" applyFill="1" applyBorder="1"/>
    <xf numFmtId="164" fontId="34" fillId="4" borderId="0" xfId="0" applyNumberFormat="1" applyFont="1" applyFill="1" applyBorder="1" applyAlignment="1">
      <alignment horizontal="right"/>
    </xf>
    <xf numFmtId="164" fontId="34" fillId="0" borderId="1" xfId="0" applyNumberFormat="1" applyFont="1" applyBorder="1" applyAlignment="1">
      <alignment wrapText="1"/>
    </xf>
    <xf numFmtId="172" fontId="0" fillId="0" borderId="0" xfId="0" applyNumberFormat="1"/>
    <xf numFmtId="44" fontId="39" fillId="0" borderId="43" xfId="6" applyNumberFormat="1" applyFont="1" applyBorder="1"/>
    <xf numFmtId="8" fontId="18" fillId="3" borderId="4" xfId="1" applyNumberFormat="1" applyFont="1" applyFill="1" applyBorder="1"/>
    <xf numFmtId="6" fontId="8" fillId="0" borderId="7" xfId="1" applyNumberFormat="1" applyFont="1" applyBorder="1"/>
    <xf numFmtId="164" fontId="58" fillId="0" borderId="0" xfId="0" applyNumberFormat="1" applyFont="1" applyBorder="1" applyAlignment="1">
      <alignment wrapText="1"/>
    </xf>
    <xf numFmtId="6" fontId="8" fillId="0" borderId="7" xfId="1" applyNumberFormat="1" applyFont="1" applyBorder="1" applyAlignment="1">
      <alignment horizontal="right" wrapText="1"/>
    </xf>
    <xf numFmtId="6" fontId="8" fillId="0" borderId="7" xfId="1" applyNumberFormat="1" applyFont="1" applyBorder="1" applyAlignment="1">
      <alignment horizontal="right"/>
    </xf>
    <xf numFmtId="0" fontId="0" fillId="0" borderId="0" xfId="0" applyFont="1" applyFill="1" applyBorder="1"/>
    <xf numFmtId="0" fontId="14" fillId="2" borderId="47" xfId="0" applyFont="1" applyFill="1" applyBorder="1" applyAlignment="1">
      <alignment horizontal="center"/>
    </xf>
    <xf numFmtId="0" fontId="15" fillId="2" borderId="32" xfId="0" applyFont="1" applyFill="1" applyBorder="1" applyAlignment="1">
      <alignment horizontal="center" wrapText="1"/>
    </xf>
    <xf numFmtId="0" fontId="15" fillId="2" borderId="32" xfId="0" applyFont="1" applyFill="1" applyBorder="1" applyAlignment="1">
      <alignment wrapText="1"/>
    </xf>
    <xf numFmtId="0" fontId="15" fillId="2" borderId="35" xfId="0" applyFont="1" applyFill="1" applyBorder="1" applyAlignment="1">
      <alignment wrapText="1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14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wrapText="1"/>
    </xf>
    <xf numFmtId="0" fontId="15" fillId="2" borderId="4" xfId="0" applyFont="1" applyFill="1" applyBorder="1" applyAlignment="1">
      <alignment wrapText="1"/>
    </xf>
    <xf numFmtId="0" fontId="14" fillId="2" borderId="28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</cellXfs>
  <cellStyles count="49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3"/>
    <cellStyle name="60% - Accent2 2" xfId="44"/>
    <cellStyle name="60% - Accent3 2" xfId="45"/>
    <cellStyle name="60% - Accent4 2" xfId="46"/>
    <cellStyle name="60% - Accent5 2" xfId="47"/>
    <cellStyle name="60% - Accent6 2" xfId="48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Calculation" xfId="17" builtinId="22" customBuiltin="1"/>
    <cellStyle name="Check Cell" xfId="19" builtinId="23" customBuiltin="1"/>
    <cellStyle name="Comma" xfId="3" builtinId="3"/>
    <cellStyle name="Comma 2" xfId="5"/>
    <cellStyle name="Currency" xfId="1" builtinId="4"/>
    <cellStyle name="Currency 2" xfId="6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2"/>
    <cellStyle name="Normal" xfId="0" builtinId="0"/>
    <cellStyle name="Normal 2" xfId="4"/>
    <cellStyle name="Note" xfId="21" builtinId="10" customBuiltin="1"/>
    <cellStyle name="Output" xfId="16" builtinId="21" customBuiltin="1"/>
    <cellStyle name="Percent" xfId="2" builtinId="5"/>
    <cellStyle name="Percent 2" xfId="7"/>
    <cellStyle name="Title" xfId="8" builtinId="15" customBuiltin="1"/>
    <cellStyle name="Total" xfId="23" builtinId="25" customBuiltin="1"/>
    <cellStyle name="Warning Text" xfId="20" builtinId="11" customBuiltin="1"/>
  </cellStyles>
  <dxfs count="0"/>
  <tableStyles count="0" defaultTableStyle="TableStyleMedium9"/>
  <colors>
    <mruColors>
      <color rgb="FF99FF66"/>
      <color rgb="FFFFFF99"/>
      <color rgb="FF008000"/>
      <color rgb="FFCC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1</xdr:row>
      <xdr:rowOff>24171</xdr:rowOff>
    </xdr:from>
    <xdr:to>
      <xdr:col>0</xdr:col>
      <xdr:colOff>1379220</xdr:colOff>
      <xdr:row>5</xdr:row>
      <xdr:rowOff>30480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" y="252771"/>
          <a:ext cx="1280160" cy="9207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68580</xdr:rowOff>
    </xdr:from>
    <xdr:to>
      <xdr:col>0</xdr:col>
      <xdr:colOff>1318260</xdr:colOff>
      <xdr:row>5</xdr:row>
      <xdr:rowOff>124870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97180"/>
          <a:ext cx="1280160" cy="9706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213360</xdr:rowOff>
    </xdr:from>
    <xdr:to>
      <xdr:col>1</xdr:col>
      <xdr:colOff>495300</xdr:colOff>
      <xdr:row>5</xdr:row>
      <xdr:rowOff>178210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3360"/>
          <a:ext cx="1280160" cy="970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48"/>
  <sheetViews>
    <sheetView tabSelected="1" workbookViewId="0"/>
  </sheetViews>
  <sheetFormatPr defaultColWidth="8.88671875" defaultRowHeight="14.4" x14ac:dyDescent="0.3"/>
  <cols>
    <col min="1" max="1" width="36.33203125" customWidth="1"/>
    <col min="2" max="2" width="15.44140625" customWidth="1"/>
    <col min="3" max="4" width="13.5546875" customWidth="1"/>
    <col min="5" max="5" width="5.33203125" customWidth="1"/>
    <col min="6" max="8" width="15.6640625" customWidth="1"/>
    <col min="9" max="9" width="11.5546875" customWidth="1"/>
    <col min="11" max="11" width="13.44140625" customWidth="1"/>
    <col min="12" max="12" width="12.5546875" customWidth="1"/>
    <col min="13" max="13" width="10" customWidth="1"/>
    <col min="14" max="14" width="9.88671875" customWidth="1"/>
  </cols>
  <sheetData>
    <row r="1" spans="1:12" ht="18" x14ac:dyDescent="0.35">
      <c r="A1" s="1" t="s">
        <v>4</v>
      </c>
      <c r="B1" s="229" t="str">
        <f>+D8</f>
        <v>As of 6/22/18</v>
      </c>
    </row>
    <row r="2" spans="1:12" ht="18" x14ac:dyDescent="0.35">
      <c r="A2" s="1"/>
    </row>
    <row r="3" spans="1:12" ht="18" x14ac:dyDescent="0.35">
      <c r="A3" s="1"/>
    </row>
    <row r="4" spans="1:12" ht="18" x14ac:dyDescent="0.35">
      <c r="A4" s="1"/>
    </row>
    <row r="5" spans="1:12" ht="18" x14ac:dyDescent="0.35">
      <c r="A5" s="1"/>
      <c r="D5" s="235"/>
    </row>
    <row r="6" spans="1:12" ht="16.8" customHeight="1" x14ac:dyDescent="0.35">
      <c r="A6" s="1" t="s">
        <v>291</v>
      </c>
    </row>
    <row r="7" spans="1:12" x14ac:dyDescent="0.3">
      <c r="A7" s="6"/>
      <c r="B7" s="39" t="s">
        <v>14</v>
      </c>
      <c r="C7" s="39" t="s">
        <v>26</v>
      </c>
      <c r="D7" s="39" t="s">
        <v>27</v>
      </c>
      <c r="F7" s="150" t="s">
        <v>28</v>
      </c>
      <c r="G7" s="39" t="s">
        <v>30</v>
      </c>
      <c r="H7" s="39" t="s">
        <v>289</v>
      </c>
      <c r="K7" s="290" t="s">
        <v>128</v>
      </c>
      <c r="L7" s="14"/>
    </row>
    <row r="8" spans="1:12" ht="15.6" x14ac:dyDescent="0.3">
      <c r="A8" s="52"/>
      <c r="B8" s="147" t="s">
        <v>155</v>
      </c>
      <c r="C8" s="147" t="s">
        <v>287</v>
      </c>
      <c r="D8" s="257" t="s">
        <v>312</v>
      </c>
      <c r="F8" s="146" t="s">
        <v>29</v>
      </c>
      <c r="G8" s="147" t="s">
        <v>29</v>
      </c>
      <c r="H8" s="147" t="s">
        <v>127</v>
      </c>
      <c r="K8" s="147" t="s">
        <v>27</v>
      </c>
      <c r="L8" s="147" t="s">
        <v>127</v>
      </c>
    </row>
    <row r="9" spans="1:12" x14ac:dyDescent="0.3">
      <c r="A9" s="148" t="s">
        <v>318</v>
      </c>
      <c r="B9" s="285">
        <f>+'Attendance, Revenue'!K15</f>
        <v>160300</v>
      </c>
      <c r="C9" s="285">
        <f>+'Attendance, Revenue'!K37</f>
        <v>185325</v>
      </c>
      <c r="D9" s="285">
        <f>+'Attendance, Revenue'!K59</f>
        <v>190225</v>
      </c>
      <c r="E9" s="140"/>
      <c r="F9" s="285">
        <f>+C9-B9</f>
        <v>25025</v>
      </c>
      <c r="G9" s="285">
        <f>+D9-C9</f>
        <v>4900</v>
      </c>
      <c r="H9" s="151">
        <f>D9/D27</f>
        <v>340.90501792114696</v>
      </c>
      <c r="I9" s="247" t="s">
        <v>322</v>
      </c>
      <c r="K9" s="285">
        <v>134508</v>
      </c>
      <c r="L9" s="151">
        <f>K9/382</f>
        <v>352.11518324607329</v>
      </c>
    </row>
    <row r="10" spans="1:12" x14ac:dyDescent="0.3">
      <c r="A10" s="21"/>
      <c r="B10" s="286"/>
      <c r="C10" s="286"/>
      <c r="D10" s="152"/>
      <c r="E10" s="140"/>
      <c r="F10" s="286"/>
      <c r="G10" s="286"/>
      <c r="H10" s="152"/>
      <c r="K10" s="286"/>
      <c r="L10" s="152"/>
    </row>
    <row r="11" spans="1:12" x14ac:dyDescent="0.3">
      <c r="A11" s="149" t="s">
        <v>96</v>
      </c>
      <c r="B11" s="286"/>
      <c r="C11" s="286"/>
      <c r="D11" s="152"/>
      <c r="E11" s="140"/>
      <c r="F11" s="286"/>
      <c r="G11" s="286"/>
      <c r="H11" s="152"/>
      <c r="K11" s="286"/>
      <c r="L11" s="152"/>
    </row>
    <row r="12" spans="1:12" x14ac:dyDescent="0.3">
      <c r="A12" s="21" t="str">
        <f>+'Expense Detail'!A7</f>
        <v>Communication/Registration</v>
      </c>
      <c r="B12" s="286">
        <f>+'Expense Detail'!H7</f>
        <v>3850</v>
      </c>
      <c r="C12" s="286">
        <f>+'Expense Detail'!N7</f>
        <v>3850</v>
      </c>
      <c r="D12" s="286">
        <f>+'Expense Detail'!T7</f>
        <v>2238.1</v>
      </c>
      <c r="E12" s="140"/>
      <c r="F12" s="286">
        <f>+C12-B12</f>
        <v>0</v>
      </c>
      <c r="G12" s="286">
        <f>+D12-C12</f>
        <v>-1611.9</v>
      </c>
      <c r="H12" s="152">
        <f>D12/D$27</f>
        <v>4.0109318996415766</v>
      </c>
      <c r="K12" s="286">
        <v>5636</v>
      </c>
      <c r="L12" s="152">
        <f>+K12/382</f>
        <v>14.753926701570681</v>
      </c>
    </row>
    <row r="13" spans="1:12" x14ac:dyDescent="0.3">
      <c r="A13" s="21" t="str">
        <f>+'Expense Detail'!A15</f>
        <v>Online registration fees</v>
      </c>
      <c r="B13" s="286">
        <f>+'Expense Detail'!H15</f>
        <v>4007.5</v>
      </c>
      <c r="C13" s="286">
        <f>+'Expense Detail'!N15</f>
        <v>4633.125</v>
      </c>
      <c r="D13" s="286">
        <f>+'Expense Detail'!T15</f>
        <v>4922.875</v>
      </c>
      <c r="E13" s="140"/>
      <c r="F13" s="286">
        <f t="shared" ref="F13:G20" si="0">+C13-B13</f>
        <v>625.625</v>
      </c>
      <c r="G13" s="286">
        <f t="shared" si="0"/>
        <v>289.75</v>
      </c>
      <c r="H13" s="152">
        <f t="shared" ref="H13:H18" si="1">D13/D$27</f>
        <v>8.8223566308243733</v>
      </c>
      <c r="K13" s="286">
        <v>3385.95</v>
      </c>
      <c r="L13" s="152">
        <f t="shared" ref="L13:L19" si="2">+K13/382</f>
        <v>8.8637434554973815</v>
      </c>
    </row>
    <row r="14" spans="1:12" x14ac:dyDescent="0.3">
      <c r="A14" s="21" t="str">
        <f>+'Expense Detail'!A18</f>
        <v>Goodie Bag</v>
      </c>
      <c r="B14" s="286">
        <f>+'Expense Detail'!H18</f>
        <v>8577.5</v>
      </c>
      <c r="C14" s="286">
        <f>+'Expense Detail'!N18</f>
        <v>14250.82</v>
      </c>
      <c r="D14" s="286">
        <f>+'Expense Detail'!T18</f>
        <v>14187.55</v>
      </c>
      <c r="E14" s="140"/>
      <c r="F14" s="286">
        <f t="shared" si="0"/>
        <v>5673.32</v>
      </c>
      <c r="G14" s="286">
        <f t="shared" si="0"/>
        <v>-63.270000000000437</v>
      </c>
      <c r="H14" s="152">
        <f t="shared" si="1"/>
        <v>25.425716845878135</v>
      </c>
      <c r="K14" s="286">
        <v>8736</v>
      </c>
      <c r="L14" s="152">
        <f t="shared" si="2"/>
        <v>22.869109947643977</v>
      </c>
    </row>
    <row r="15" spans="1:12" x14ac:dyDescent="0.3">
      <c r="A15" s="21" t="str">
        <f>+'Expense Detail'!A23</f>
        <v>College Fees</v>
      </c>
      <c r="B15" s="286">
        <f>+'Expense Detail'!H23</f>
        <v>46285</v>
      </c>
      <c r="C15" s="286">
        <f>+'Expense Detail'!N23</f>
        <v>52756</v>
      </c>
      <c r="D15" s="286">
        <f>+'Expense Detail'!T23</f>
        <v>57234</v>
      </c>
      <c r="E15" s="140"/>
      <c r="F15" s="286">
        <f>+C15-B15</f>
        <v>6471</v>
      </c>
      <c r="G15" s="286">
        <f>+D15-C15</f>
        <v>4478</v>
      </c>
      <c r="H15" s="152">
        <f t="shared" si="1"/>
        <v>102.56989247311827</v>
      </c>
      <c r="I15" t="s">
        <v>303</v>
      </c>
      <c r="K15" s="286">
        <v>40846</v>
      </c>
      <c r="L15" s="152">
        <f t="shared" si="2"/>
        <v>106.92670157068063</v>
      </c>
    </row>
    <row r="16" spans="1:12" x14ac:dyDescent="0.3">
      <c r="A16" s="21" t="str">
        <f>+'Expense Detail'!A40</f>
        <v>Transportation, Equipment, Misc</v>
      </c>
      <c r="B16" s="286">
        <f>+'Expense Detail'!H40</f>
        <v>8888</v>
      </c>
      <c r="C16" s="286">
        <f>+'Expense Detail'!N40</f>
        <v>8488</v>
      </c>
      <c r="D16" s="286">
        <f>+'Expense Detail'!T40</f>
        <v>2604.89</v>
      </c>
      <c r="E16" s="140"/>
      <c r="F16" s="286">
        <f>+C16-B16</f>
        <v>-400</v>
      </c>
      <c r="G16" s="286">
        <f>+D16-C16</f>
        <v>-5883.1100000000006</v>
      </c>
      <c r="H16" s="152">
        <f t="shared" si="1"/>
        <v>4.6682616487455197</v>
      </c>
      <c r="I16" t="s">
        <v>342</v>
      </c>
      <c r="K16" s="286">
        <v>1725</v>
      </c>
      <c r="L16" s="152">
        <f t="shared" si="2"/>
        <v>4.5157068062827221</v>
      </c>
    </row>
    <row r="17" spans="1:13" x14ac:dyDescent="0.3">
      <c r="A17" s="21" t="str">
        <f>+'Expense Detail'!A59</f>
        <v>Events: Meals</v>
      </c>
      <c r="B17" s="286">
        <f>+'Expense Detail'!H59</f>
        <v>86671.242499999993</v>
      </c>
      <c r="C17" s="286">
        <f>+'Expense Detail'!N59</f>
        <v>107686.74249999999</v>
      </c>
      <c r="D17" s="286">
        <f>+'Expense Detail'!T59</f>
        <v>111908.63249999999</v>
      </c>
      <c r="E17" s="140"/>
      <c r="F17" s="286">
        <f t="shared" si="0"/>
        <v>21015.5</v>
      </c>
      <c r="G17" s="286">
        <f t="shared" si="0"/>
        <v>4221.8899999999994</v>
      </c>
      <c r="H17" s="152">
        <f t="shared" si="1"/>
        <v>200.55310483870966</v>
      </c>
      <c r="I17" t="s">
        <v>328</v>
      </c>
      <c r="K17" s="286">
        <v>78251.429999999993</v>
      </c>
      <c r="L17" s="152">
        <f t="shared" si="2"/>
        <v>204.84667539267014</v>
      </c>
    </row>
    <row r="18" spans="1:13" x14ac:dyDescent="0.3">
      <c r="A18" s="21" t="str">
        <f>+'Expense Detail'!A122</f>
        <v>Events: Entertainment</v>
      </c>
      <c r="B18" s="286">
        <f>+'Expense Detail'!H122</f>
        <v>4273</v>
      </c>
      <c r="C18" s="286">
        <f>+'Expense Detail'!N122</f>
        <v>4273</v>
      </c>
      <c r="D18" s="286">
        <f>+'Expense Detail'!T122</f>
        <v>3874</v>
      </c>
      <c r="E18" s="140"/>
      <c r="F18" s="286">
        <f t="shared" si="0"/>
        <v>0</v>
      </c>
      <c r="G18" s="286">
        <f t="shared" si="0"/>
        <v>-399</v>
      </c>
      <c r="H18" s="152">
        <f t="shared" si="1"/>
        <v>6.9426523297491043</v>
      </c>
      <c r="K18" s="286">
        <f>4348+140</f>
        <v>4488</v>
      </c>
      <c r="L18" s="152">
        <f t="shared" si="2"/>
        <v>11.74869109947644</v>
      </c>
    </row>
    <row r="19" spans="1:13" x14ac:dyDescent="0.3">
      <c r="A19" s="21" t="str">
        <f>+'Expense Detail'!A130</f>
        <v>Events: Beverages</v>
      </c>
      <c r="B19" s="406">
        <f>+'Expense Detail'!H130</f>
        <v>13682</v>
      </c>
      <c r="C19" s="406">
        <f>+'Expense Detail'!N130</f>
        <v>17413.11</v>
      </c>
      <c r="D19" s="406">
        <f>+'Expense Detail'!T130</f>
        <v>16926.78</v>
      </c>
      <c r="E19" s="140"/>
      <c r="F19" s="406">
        <f t="shared" si="0"/>
        <v>3731.1100000000006</v>
      </c>
      <c r="G19" s="406">
        <f t="shared" si="0"/>
        <v>-486.33000000000175</v>
      </c>
      <c r="H19" s="407">
        <f>+D19/D$27</f>
        <v>30.334731182795696</v>
      </c>
      <c r="K19" s="406">
        <v>15000</v>
      </c>
      <c r="L19" s="407">
        <f t="shared" si="2"/>
        <v>39.267015706806284</v>
      </c>
      <c r="M19" t="s">
        <v>26</v>
      </c>
    </row>
    <row r="20" spans="1:13" x14ac:dyDescent="0.3">
      <c r="A20" s="149" t="s">
        <v>53</v>
      </c>
      <c r="B20" s="287">
        <f>SUM(B12:B19)</f>
        <v>176234.24249999999</v>
      </c>
      <c r="C20" s="287">
        <f>SUM(C12:C19)</f>
        <v>213350.79749999999</v>
      </c>
      <c r="D20" s="287">
        <f>SUM(D12:D19)</f>
        <v>213896.82749999998</v>
      </c>
      <c r="E20" s="140"/>
      <c r="F20" s="287">
        <f t="shared" si="0"/>
        <v>37116.554999999993</v>
      </c>
      <c r="G20" s="287">
        <f t="shared" si="0"/>
        <v>546.02999999999884</v>
      </c>
      <c r="H20" s="153">
        <f>SUM(H12:H19)</f>
        <v>383.32764784946227</v>
      </c>
      <c r="K20" s="287">
        <f>SUM(K12:K19)</f>
        <v>158068.38</v>
      </c>
      <c r="L20" s="153">
        <f>SUM(L12:L19)</f>
        <v>413.79157068062824</v>
      </c>
    </row>
    <row r="21" spans="1:13" x14ac:dyDescent="0.3">
      <c r="A21" s="21"/>
      <c r="B21" s="288"/>
      <c r="C21" s="286"/>
      <c r="D21" s="286"/>
      <c r="F21" s="286"/>
      <c r="G21" s="286"/>
      <c r="H21" s="284"/>
      <c r="K21" s="288"/>
      <c r="L21" s="284"/>
    </row>
    <row r="22" spans="1:13" x14ac:dyDescent="0.3">
      <c r="A22" s="43" t="s">
        <v>54</v>
      </c>
      <c r="B22" s="289">
        <f>+B9-B20</f>
        <v>-15934.242499999993</v>
      </c>
      <c r="C22" s="289">
        <f>+C9-C20</f>
        <v>-28025.797499999986</v>
      </c>
      <c r="D22" s="289">
        <f>+D9-D20</f>
        <v>-23671.827499999985</v>
      </c>
      <c r="E22" s="140"/>
      <c r="F22" s="289">
        <f>+F9-F20</f>
        <v>-12091.554999999993</v>
      </c>
      <c r="G22" s="289">
        <f>+G9-G20</f>
        <v>4353.9700000000012</v>
      </c>
      <c r="H22" s="154">
        <f>+D22/D27</f>
        <v>-42.422629928315388</v>
      </c>
      <c r="K22" s="289">
        <f>+K9-K20</f>
        <v>-23560.380000000005</v>
      </c>
      <c r="L22" s="154">
        <f>+L9-L20</f>
        <v>-61.676387434554954</v>
      </c>
    </row>
    <row r="23" spans="1:13" x14ac:dyDescent="0.3">
      <c r="A23" s="271" t="s">
        <v>290</v>
      </c>
      <c r="B23" s="140"/>
      <c r="C23" s="247"/>
      <c r="D23" s="140"/>
      <c r="E23" s="140"/>
      <c r="F23" s="140"/>
      <c r="G23" s="140"/>
      <c r="I23" s="235"/>
      <c r="K23" t="s">
        <v>129</v>
      </c>
    </row>
    <row r="24" spans="1:13" x14ac:dyDescent="0.3">
      <c r="B24" s="140"/>
      <c r="C24" s="140"/>
      <c r="D24" s="140"/>
      <c r="E24" s="140"/>
      <c r="F24" s="140"/>
      <c r="G24" s="140"/>
      <c r="I24" s="235"/>
    </row>
    <row r="25" spans="1:13" x14ac:dyDescent="0.3">
      <c r="A25" s="22" t="s">
        <v>348</v>
      </c>
      <c r="B25" s="20">
        <f>+'Attendance, Revenue'!E9</f>
        <v>280</v>
      </c>
      <c r="C25" s="323">
        <f>+'Attendance, Revenue'!B40</f>
        <v>335</v>
      </c>
      <c r="D25" s="323">
        <f>+'Attendance, Revenue'!B62</f>
        <v>355</v>
      </c>
    </row>
    <row r="26" spans="1:13" x14ac:dyDescent="0.3">
      <c r="A26" s="25" t="s">
        <v>349</v>
      </c>
      <c r="B26" s="304">
        <f>+B27-B25</f>
        <v>172</v>
      </c>
      <c r="C26" s="304">
        <f>+C27-C25</f>
        <v>210</v>
      </c>
      <c r="D26" s="304">
        <f>+D27-D25</f>
        <v>203</v>
      </c>
    </row>
    <row r="27" spans="1:13" x14ac:dyDescent="0.3">
      <c r="A27" s="303" t="s">
        <v>149</v>
      </c>
      <c r="B27" s="305">
        <f>+'Attendance, Revenue'!E15</f>
        <v>452</v>
      </c>
      <c r="C27" s="324">
        <f>+'Attendance, Revenue'!B43</f>
        <v>545</v>
      </c>
      <c r="D27" s="324">
        <f>+'Attendance, Revenue'!B65</f>
        <v>558</v>
      </c>
      <c r="I27" s="250"/>
    </row>
    <row r="30" spans="1:13" x14ac:dyDescent="0.3">
      <c r="H30" s="247"/>
    </row>
    <row r="32" spans="1:13" x14ac:dyDescent="0.3">
      <c r="H32" s="247"/>
    </row>
    <row r="40" spans="8:14" x14ac:dyDescent="0.3">
      <c r="I40" s="251"/>
    </row>
    <row r="41" spans="8:14" x14ac:dyDescent="0.3">
      <c r="H41" s="140"/>
      <c r="I41" s="235"/>
    </row>
    <row r="47" spans="8:14" x14ac:dyDescent="0.3">
      <c r="N47" s="231"/>
    </row>
    <row r="48" spans="8:14" x14ac:dyDescent="0.3">
      <c r="N48" s="231"/>
    </row>
  </sheetData>
  <phoneticPr fontId="24" type="noConversion"/>
  <printOptions horizontalCentered="1"/>
  <pageMargins left="0.2" right="0.2" top="0.1" bottom="0.1" header="0.3" footer="0.3"/>
  <pageSetup orientation="portrait" horizontalDpi="4294967292" verticalDpi="4294967292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A73"/>
  <sheetViews>
    <sheetView topLeftCell="A23" zoomScale="112" zoomScaleNormal="112" workbookViewId="0">
      <selection activeCell="A17" sqref="A17"/>
    </sheetView>
  </sheetViews>
  <sheetFormatPr defaultColWidth="8.88671875" defaultRowHeight="14.4" x14ac:dyDescent="0.3"/>
  <cols>
    <col min="1" max="1" width="46.6640625" customWidth="1"/>
    <col min="3" max="3" width="12" customWidth="1"/>
    <col min="6" max="6" width="2.88671875" customWidth="1"/>
    <col min="8" max="8" width="10.33203125" customWidth="1"/>
    <col min="9" max="9" width="8.88671875" customWidth="1"/>
    <col min="10" max="10" width="3.6640625" customWidth="1"/>
    <col min="11" max="11" width="10.33203125" customWidth="1"/>
    <col min="13" max="13" width="9.109375" customWidth="1"/>
    <col min="15" max="15" width="9.109375" bestFit="1" customWidth="1"/>
  </cols>
  <sheetData>
    <row r="1" spans="1:19" ht="18" x14ac:dyDescent="0.35">
      <c r="A1" s="1" t="s">
        <v>62</v>
      </c>
    </row>
    <row r="2" spans="1:19" ht="18" x14ac:dyDescent="0.35">
      <c r="A2" s="1"/>
    </row>
    <row r="3" spans="1:19" ht="18" x14ac:dyDescent="0.35">
      <c r="A3" s="1"/>
    </row>
    <row r="4" spans="1:19" ht="18" x14ac:dyDescent="0.35">
      <c r="A4" s="1"/>
    </row>
    <row r="5" spans="1:19" ht="18" x14ac:dyDescent="0.35">
      <c r="A5" s="1"/>
    </row>
    <row r="6" spans="1:19" ht="13.5" customHeight="1" x14ac:dyDescent="0.35">
      <c r="A6" s="1"/>
    </row>
    <row r="7" spans="1:19" x14ac:dyDescent="0.3">
      <c r="A7" s="6"/>
      <c r="B7" s="10"/>
      <c r="C7" s="11" t="s">
        <v>347</v>
      </c>
      <c r="D7" s="11"/>
      <c r="E7" s="12"/>
      <c r="F7" s="141"/>
      <c r="G7" s="10"/>
      <c r="H7" s="13" t="s">
        <v>63</v>
      </c>
      <c r="I7" s="14"/>
      <c r="J7" s="141"/>
      <c r="K7" s="39" t="s">
        <v>320</v>
      </c>
      <c r="O7" s="53" t="s">
        <v>114</v>
      </c>
    </row>
    <row r="8" spans="1:19" ht="15.6" x14ac:dyDescent="0.3">
      <c r="A8" s="52" t="str">
        <f>"Initial Budget "&amp;Summary!B8</f>
        <v>Initial Budget As of 2/28/18</v>
      </c>
      <c r="B8" s="7" t="s">
        <v>5</v>
      </c>
      <c r="C8" s="8" t="s">
        <v>6</v>
      </c>
      <c r="D8" s="8" t="s">
        <v>12</v>
      </c>
      <c r="E8" s="9" t="s">
        <v>7</v>
      </c>
      <c r="F8" s="142"/>
      <c r="G8" s="17" t="s">
        <v>5</v>
      </c>
      <c r="H8" s="18" t="s">
        <v>6</v>
      </c>
      <c r="I8" s="19" t="s">
        <v>12</v>
      </c>
      <c r="J8" s="145"/>
      <c r="K8" s="468" t="s">
        <v>64</v>
      </c>
      <c r="N8" s="54" t="s">
        <v>115</v>
      </c>
      <c r="O8" s="56" t="s">
        <v>80</v>
      </c>
      <c r="P8" s="55" t="s">
        <v>116</v>
      </c>
      <c r="Q8" s="56" t="s">
        <v>7</v>
      </c>
    </row>
    <row r="9" spans="1:19" x14ac:dyDescent="0.3">
      <c r="A9" s="20" t="s">
        <v>8</v>
      </c>
      <c r="B9" s="22">
        <f>ROUND($E9*(N20/$Q20),0)</f>
        <v>193</v>
      </c>
      <c r="C9" s="23">
        <f t="shared" ref="C9" si="0">ROUND($E9*(O20/$Q20),0)</f>
        <v>66</v>
      </c>
      <c r="D9" s="23">
        <f>ROUND($E9*(P20/$Q20)+1,0)</f>
        <v>21</v>
      </c>
      <c r="E9" s="20">
        <v>280</v>
      </c>
      <c r="F9" s="143"/>
      <c r="G9" s="31">
        <v>375</v>
      </c>
      <c r="H9" s="32">
        <f>+G9+50</f>
        <v>425</v>
      </c>
      <c r="I9" s="33">
        <f>+H9+50</f>
        <v>475</v>
      </c>
      <c r="J9" s="5"/>
      <c r="K9" s="37">
        <f>(B9*G9)+(C9*H9)+(D9*I9)</f>
        <v>110400</v>
      </c>
      <c r="M9">
        <v>1987</v>
      </c>
      <c r="N9" s="242">
        <v>232</v>
      </c>
      <c r="O9" s="275">
        <v>56</v>
      </c>
      <c r="P9" s="241">
        <v>94</v>
      </c>
      <c r="Q9" s="277">
        <f>SUM(N9:P9)</f>
        <v>382</v>
      </c>
    </row>
    <row r="10" spans="1:19" x14ac:dyDescent="0.3">
      <c r="A10" s="21" t="s">
        <v>47</v>
      </c>
      <c r="B10" s="25">
        <f>ROUND($E10*(N21/$Q21),0)</f>
        <v>64</v>
      </c>
      <c r="C10" s="26">
        <f t="shared" ref="C10" si="1">ROUND($E10*(O21/$Q21),0)</f>
        <v>18</v>
      </c>
      <c r="D10" s="27">
        <f>ROUND($E10*(P21/$Q21),0)</f>
        <v>3</v>
      </c>
      <c r="E10" s="21">
        <f>ROUND(E$9*O$15/N$15,0)</f>
        <v>85</v>
      </c>
      <c r="F10" s="5"/>
      <c r="G10" s="34">
        <f>+G9</f>
        <v>375</v>
      </c>
      <c r="H10" s="35">
        <f>+G10+50</f>
        <v>425</v>
      </c>
      <c r="I10" s="36">
        <f>+H10+50</f>
        <v>475</v>
      </c>
      <c r="J10" s="5"/>
      <c r="K10" s="38">
        <f t="shared" ref="K10:K14" si="2">(B10*G10)+(C10*H10)+(D10*I10)</f>
        <v>33075</v>
      </c>
      <c r="M10">
        <v>1986</v>
      </c>
      <c r="N10" s="242">
        <v>250</v>
      </c>
      <c r="O10" s="275">
        <v>85</v>
      </c>
      <c r="P10" s="241">
        <v>87</v>
      </c>
      <c r="Q10" s="277">
        <f t="shared" ref="Q10:Q13" si="3">SUM(N10:P10)</f>
        <v>422</v>
      </c>
    </row>
    <row r="11" spans="1:19" x14ac:dyDescent="0.3">
      <c r="A11" s="21" t="s">
        <v>0</v>
      </c>
      <c r="B11" s="25">
        <f>ROUND($E11*(N22/$Q22)-1,0)</f>
        <v>53</v>
      </c>
      <c r="C11" s="26">
        <f t="shared" ref="C11" si="4">ROUND($E11*(O22/$Q22),0)</f>
        <v>10</v>
      </c>
      <c r="D11" s="27">
        <f>ROUND($E11*(P22/$Q22),0)</f>
        <v>2</v>
      </c>
      <c r="E11" s="21">
        <f>ROUND(E$9*P$15/N$15*0.75,0)</f>
        <v>65</v>
      </c>
      <c r="F11" s="5"/>
      <c r="G11" s="34">
        <v>200</v>
      </c>
      <c r="H11" s="35">
        <v>225</v>
      </c>
      <c r="I11" s="36">
        <v>250</v>
      </c>
      <c r="J11" s="5"/>
      <c r="K11" s="38">
        <f t="shared" si="2"/>
        <v>13350</v>
      </c>
      <c r="M11">
        <v>1985</v>
      </c>
      <c r="N11" s="242">
        <v>180</v>
      </c>
      <c r="O11" s="275">
        <v>46</v>
      </c>
      <c r="P11" s="241">
        <v>61</v>
      </c>
      <c r="Q11" s="277">
        <f t="shared" si="3"/>
        <v>287</v>
      </c>
      <c r="S11" s="4"/>
    </row>
    <row r="12" spans="1:19" x14ac:dyDescent="0.3">
      <c r="A12" s="21" t="s">
        <v>9</v>
      </c>
      <c r="B12" s="25">
        <f>ROUND($E12*(N23/$Q23),0)</f>
        <v>16</v>
      </c>
      <c r="C12" s="26">
        <f t="shared" ref="C12" si="5">ROUND($E12*(O23/$Q23),0)</f>
        <v>5</v>
      </c>
      <c r="D12" s="27">
        <f>ROUND($E12*(P23/$Q23),0)</f>
        <v>1</v>
      </c>
      <c r="E12" s="21">
        <f>ROUND(E$9*P$15/N$15*0.25,0)</f>
        <v>22</v>
      </c>
      <c r="F12" s="5"/>
      <c r="G12" s="34">
        <v>150</v>
      </c>
      <c r="H12" s="35">
        <v>175</v>
      </c>
      <c r="I12" s="36">
        <v>200</v>
      </c>
      <c r="J12" s="5"/>
      <c r="K12" s="38">
        <f t="shared" si="2"/>
        <v>3475</v>
      </c>
      <c r="M12">
        <v>1984</v>
      </c>
      <c r="N12" s="242">
        <v>255</v>
      </c>
      <c r="O12" s="275">
        <v>85</v>
      </c>
      <c r="P12" s="241">
        <v>63</v>
      </c>
      <c r="Q12" s="277">
        <f t="shared" si="3"/>
        <v>403</v>
      </c>
    </row>
    <row r="13" spans="1:19" x14ac:dyDescent="0.3">
      <c r="A13" s="21" t="s">
        <v>10</v>
      </c>
      <c r="B13" s="25">
        <v>0</v>
      </c>
      <c r="C13" s="26">
        <v>0</v>
      </c>
      <c r="D13" s="26">
        <v>0</v>
      </c>
      <c r="E13" s="21">
        <v>0</v>
      </c>
      <c r="F13" s="5"/>
      <c r="G13" s="34">
        <v>0</v>
      </c>
      <c r="H13" s="35">
        <v>0</v>
      </c>
      <c r="I13" s="36">
        <v>0</v>
      </c>
      <c r="J13" s="5"/>
      <c r="K13" s="38">
        <f t="shared" si="2"/>
        <v>0</v>
      </c>
      <c r="M13">
        <v>1983</v>
      </c>
      <c r="N13" s="242">
        <v>193</v>
      </c>
      <c r="O13" s="275">
        <v>70</v>
      </c>
      <c r="P13" s="241">
        <v>43</v>
      </c>
      <c r="Q13" s="277">
        <f t="shared" si="3"/>
        <v>306</v>
      </c>
    </row>
    <row r="14" spans="1:19" x14ac:dyDescent="0.3">
      <c r="A14" s="21" t="s">
        <v>11</v>
      </c>
      <c r="B14" s="25">
        <f t="shared" ref="B14" si="6">ROUND($E14*N14,0)</f>
        <v>0</v>
      </c>
      <c r="C14" s="26">
        <f t="shared" ref="C14" si="7">ROUND($E14*O14,0)</f>
        <v>0</v>
      </c>
      <c r="D14" s="26">
        <f t="shared" ref="D14" si="8">ROUND($E14*P14,0)</f>
        <v>0</v>
      </c>
      <c r="E14" s="21">
        <v>0</v>
      </c>
      <c r="F14" s="5"/>
      <c r="G14" s="34">
        <v>0</v>
      </c>
      <c r="H14" s="35">
        <v>0</v>
      </c>
      <c r="I14" s="36">
        <v>0</v>
      </c>
      <c r="J14" s="5"/>
      <c r="K14" s="38">
        <f t="shared" si="2"/>
        <v>0</v>
      </c>
      <c r="M14">
        <v>1982</v>
      </c>
      <c r="N14" s="242">
        <v>272</v>
      </c>
      <c r="O14" s="275">
        <v>78</v>
      </c>
      <c r="P14" s="241">
        <v>82</v>
      </c>
      <c r="Q14" s="277">
        <f>SUM(N14:P14)</f>
        <v>432</v>
      </c>
    </row>
    <row r="15" spans="1:19" s="2" customFormat="1" x14ac:dyDescent="0.3">
      <c r="A15" s="40" t="s">
        <v>7</v>
      </c>
      <c r="B15" s="40">
        <f>SUM(B9:B14)</f>
        <v>326</v>
      </c>
      <c r="C15" s="41">
        <f t="shared" ref="C15:D15" si="9">SUM(C9:C14)</f>
        <v>99</v>
      </c>
      <c r="D15" s="42">
        <f t="shared" si="9"/>
        <v>27</v>
      </c>
      <c r="E15" s="43">
        <f>SUM(E9:E14)</f>
        <v>452</v>
      </c>
      <c r="F15" s="144"/>
      <c r="G15" s="40"/>
      <c r="H15" s="41"/>
      <c r="I15" s="42"/>
      <c r="J15" s="144"/>
      <c r="K15" s="44">
        <f>SUM(K9:K14)</f>
        <v>160300</v>
      </c>
      <c r="N15" s="276">
        <f>AVERAGE(N9:N14)</f>
        <v>230.33333333333334</v>
      </c>
      <c r="O15" s="276">
        <f t="shared" ref="O15:P15" si="10">AVERAGE(O9:O14)</f>
        <v>70</v>
      </c>
      <c r="P15" s="276">
        <f t="shared" si="10"/>
        <v>71.666666666666671</v>
      </c>
      <c r="Q15" s="278">
        <f>AVERAGE(Q9:Q14)</f>
        <v>372</v>
      </c>
      <c r="R15"/>
    </row>
    <row r="16" spans="1:19" x14ac:dyDescent="0.3">
      <c r="K16" s="224"/>
      <c r="O16" s="280"/>
      <c r="P16" s="281"/>
    </row>
    <row r="17" spans="1:19" x14ac:dyDescent="0.3">
      <c r="A17" s="47" t="s">
        <v>353</v>
      </c>
      <c r="B17" s="238" t="s">
        <v>71</v>
      </c>
      <c r="C17" s="238" t="s">
        <v>72</v>
      </c>
    </row>
    <row r="18" spans="1:19" x14ac:dyDescent="0.3">
      <c r="A18" s="25" t="s">
        <v>58</v>
      </c>
      <c r="B18" s="45">
        <v>300</v>
      </c>
      <c r="C18" s="45">
        <f>+E9</f>
        <v>280</v>
      </c>
      <c r="N18" s="279" t="s">
        <v>117</v>
      </c>
      <c r="O18" s="279"/>
      <c r="P18" s="234"/>
      <c r="Q18" s="234"/>
    </row>
    <row r="19" spans="1:19" x14ac:dyDescent="0.3">
      <c r="A19" s="25" t="s">
        <v>59</v>
      </c>
      <c r="B19" s="45">
        <f>ROUND(+C19/C$18*B$18,0)-1</f>
        <v>90</v>
      </c>
      <c r="C19" s="45">
        <f>+E10</f>
        <v>85</v>
      </c>
      <c r="N19" s="54" t="s">
        <v>5</v>
      </c>
      <c r="O19" s="56" t="s">
        <v>6</v>
      </c>
      <c r="P19" s="55" t="s">
        <v>12</v>
      </c>
      <c r="Q19" s="56" t="s">
        <v>7</v>
      </c>
    </row>
    <row r="20" spans="1:19" x14ac:dyDescent="0.3">
      <c r="A20" s="25" t="s">
        <v>60</v>
      </c>
      <c r="B20" s="45">
        <f>ROUND(+C20/C$18*B$18,0)-3</f>
        <v>90</v>
      </c>
      <c r="C20" s="46">
        <f>SUM(E11:E14)</f>
        <v>87</v>
      </c>
      <c r="M20" s="248" t="s">
        <v>115</v>
      </c>
      <c r="N20" s="242">
        <v>315</v>
      </c>
      <c r="O20" s="275">
        <v>108</v>
      </c>
      <c r="P20" s="241">
        <v>33</v>
      </c>
      <c r="Q20" s="277">
        <f>SUM(N20:P20)</f>
        <v>456</v>
      </c>
    </row>
    <row r="21" spans="1:19" x14ac:dyDescent="0.3">
      <c r="A21" s="49" t="s">
        <v>61</v>
      </c>
      <c r="B21" s="50">
        <f>SUM(B18:B20)</f>
        <v>480</v>
      </c>
      <c r="C21" s="50">
        <f>SUM(C18:C20)</f>
        <v>452</v>
      </c>
      <c r="M21" s="248" t="s">
        <v>80</v>
      </c>
      <c r="N21" s="242">
        <v>115</v>
      </c>
      <c r="O21" s="275">
        <v>32</v>
      </c>
      <c r="P21" s="241">
        <v>5</v>
      </c>
      <c r="Q21" s="277">
        <f t="shared" ref="Q21:Q24" si="11">SUM(N21:P21)</f>
        <v>152</v>
      </c>
    </row>
    <row r="22" spans="1:19" x14ac:dyDescent="0.3">
      <c r="M22" s="248" t="s">
        <v>98</v>
      </c>
      <c r="N22" s="242">
        <v>84</v>
      </c>
      <c r="O22" s="275">
        <v>15</v>
      </c>
      <c r="P22" s="241">
        <v>3</v>
      </c>
      <c r="Q22" s="277">
        <f t="shared" si="11"/>
        <v>102</v>
      </c>
    </row>
    <row r="23" spans="1:19" x14ac:dyDescent="0.3">
      <c r="A23" s="51" t="s">
        <v>57</v>
      </c>
      <c r="B23" s="23"/>
      <c r="C23" s="23"/>
      <c r="D23" s="23"/>
      <c r="E23" s="23"/>
      <c r="F23" s="23"/>
      <c r="G23" s="23"/>
      <c r="H23" s="23"/>
      <c r="I23" s="23"/>
      <c r="J23" s="23"/>
      <c r="K23" s="24"/>
      <c r="M23" s="248" t="s">
        <v>99</v>
      </c>
      <c r="N23" s="242">
        <v>110</v>
      </c>
      <c r="O23" s="275">
        <v>31</v>
      </c>
      <c r="P23" s="241">
        <v>8</v>
      </c>
      <c r="Q23" s="277">
        <f t="shared" si="11"/>
        <v>149</v>
      </c>
    </row>
    <row r="24" spans="1:19" x14ac:dyDescent="0.3">
      <c r="A24" s="25" t="s">
        <v>118</v>
      </c>
      <c r="B24" s="26"/>
      <c r="C24" s="26"/>
      <c r="D24" s="26"/>
      <c r="E24" s="26"/>
      <c r="F24" s="26"/>
      <c r="G24" s="26"/>
      <c r="H24" s="26"/>
      <c r="I24" s="26"/>
      <c r="J24" s="26"/>
      <c r="K24" s="27"/>
      <c r="M24" s="248" t="s">
        <v>121</v>
      </c>
      <c r="N24" s="242">
        <v>13</v>
      </c>
      <c r="O24" s="275">
        <v>4</v>
      </c>
      <c r="P24" s="241">
        <v>0</v>
      </c>
      <c r="Q24" s="277">
        <f t="shared" si="11"/>
        <v>17</v>
      </c>
    </row>
    <row r="25" spans="1:19" x14ac:dyDescent="0.3">
      <c r="A25" s="25" t="s">
        <v>119</v>
      </c>
      <c r="B25" s="26"/>
      <c r="C25" s="26"/>
      <c r="D25" s="26"/>
      <c r="E25" s="26"/>
      <c r="F25" s="26"/>
      <c r="G25" s="26"/>
      <c r="H25" s="26"/>
      <c r="I25" s="26"/>
      <c r="J25" s="26"/>
      <c r="K25" s="27"/>
      <c r="M25" s="248" t="s">
        <v>101</v>
      </c>
      <c r="N25" s="242">
        <v>4</v>
      </c>
      <c r="O25" s="275">
        <v>0</v>
      </c>
      <c r="P25" s="241">
        <v>0</v>
      </c>
      <c r="Q25" s="277">
        <f>SUM(N25:P25)</f>
        <v>4</v>
      </c>
    </row>
    <row r="26" spans="1:19" x14ac:dyDescent="0.3">
      <c r="A26" s="28" t="s">
        <v>120</v>
      </c>
      <c r="B26" s="29"/>
      <c r="C26" s="29"/>
      <c r="D26" s="29"/>
      <c r="E26" s="29"/>
      <c r="F26" s="29"/>
      <c r="G26" s="29"/>
      <c r="H26" s="29"/>
      <c r="I26" s="29"/>
      <c r="J26" s="29"/>
      <c r="K26" s="30"/>
      <c r="N26" s="276">
        <f>SUM(N20:N25)</f>
        <v>641</v>
      </c>
      <c r="O26" s="276">
        <f>SUM(O20:O25)</f>
        <v>190</v>
      </c>
      <c r="P26" s="276">
        <f>SUM(P20:P25)</f>
        <v>49</v>
      </c>
      <c r="Q26" s="278">
        <f>SUM(N26:P26)</f>
        <v>880</v>
      </c>
    </row>
    <row r="27" spans="1:19" x14ac:dyDescent="0.3">
      <c r="P27" s="4">
        <f>+P26/(N26+O26)</f>
        <v>5.8965102286401928E-2</v>
      </c>
    </row>
    <row r="28" spans="1:19" ht="15" customHeight="1" x14ac:dyDescent="0.3"/>
    <row r="29" spans="1:19" ht="15" customHeight="1" x14ac:dyDescent="0.3">
      <c r="A29" s="6"/>
      <c r="B29" s="10"/>
      <c r="C29" s="11" t="s">
        <v>347</v>
      </c>
      <c r="D29" s="11"/>
      <c r="E29" s="12"/>
      <c r="F29" s="15"/>
      <c r="G29" s="10"/>
      <c r="H29" s="13" t="s">
        <v>63</v>
      </c>
      <c r="I29" s="14"/>
      <c r="J29" s="15"/>
      <c r="K29" s="39" t="s">
        <v>320</v>
      </c>
      <c r="N29" s="393" t="s">
        <v>281</v>
      </c>
      <c r="O29" s="279"/>
      <c r="P29" s="234"/>
      <c r="Q29" s="234"/>
    </row>
    <row r="30" spans="1:19" ht="15" customHeight="1" x14ac:dyDescent="0.3">
      <c r="A30" s="52" t="str">
        <f>"Preliminary Budget "&amp;Summary!C8</f>
        <v>Preliminary Budget As of 6/11/18</v>
      </c>
      <c r="B30" s="7" t="s">
        <v>5</v>
      </c>
      <c r="C30" s="8" t="s">
        <v>6</v>
      </c>
      <c r="D30" s="8" t="s">
        <v>12</v>
      </c>
      <c r="E30" s="9" t="s">
        <v>7</v>
      </c>
      <c r="F30" s="16"/>
      <c r="G30" s="17" t="s">
        <v>5</v>
      </c>
      <c r="H30" s="18" t="s">
        <v>6</v>
      </c>
      <c r="I30" s="19" t="s">
        <v>12</v>
      </c>
      <c r="J30" s="8"/>
      <c r="K30" s="468" t="s">
        <v>64</v>
      </c>
      <c r="N30" s="54" t="s">
        <v>272</v>
      </c>
      <c r="O30" s="56" t="s">
        <v>273</v>
      </c>
      <c r="P30" s="55" t="s">
        <v>274</v>
      </c>
      <c r="Q30" s="56" t="s">
        <v>275</v>
      </c>
      <c r="R30" s="56" t="s">
        <v>276</v>
      </c>
      <c r="S30" s="56" t="s">
        <v>277</v>
      </c>
    </row>
    <row r="31" spans="1:19" ht="15" customHeight="1" x14ac:dyDescent="0.3">
      <c r="A31" s="20" t="s">
        <v>8</v>
      </c>
      <c r="B31" s="243">
        <v>268</v>
      </c>
      <c r="C31" s="240">
        <v>49</v>
      </c>
      <c r="D31" s="240">
        <f>7+6</f>
        <v>13</v>
      </c>
      <c r="E31" s="317">
        <f>ROUND(SUM(B31:D31),0)</f>
        <v>330</v>
      </c>
      <c r="F31" s="3"/>
      <c r="G31" s="31">
        <v>375</v>
      </c>
      <c r="H31" s="32">
        <f>+G31+50</f>
        <v>425</v>
      </c>
      <c r="I31" s="33">
        <f>+H31+50</f>
        <v>475</v>
      </c>
      <c r="K31" s="37">
        <f>(B31*G31)+(C31*H31)+(D31*I31)</f>
        <v>127500</v>
      </c>
      <c r="M31" s="248" t="s">
        <v>278</v>
      </c>
      <c r="N31" s="388">
        <f>+'Expense Detail'!I62</f>
        <v>0.67921146953405021</v>
      </c>
      <c r="O31" s="389">
        <f>+'Expense Detail'!I76</f>
        <v>0.78494623655913975</v>
      </c>
      <c r="P31" s="390">
        <f>+'Expense Detail'!I85</f>
        <v>0.91577060931899645</v>
      </c>
      <c r="Q31" s="389">
        <f>+'Expense Detail'!I98</f>
        <v>0.87992831541218641</v>
      </c>
      <c r="R31" s="389">
        <f>+'Expense Detail'!I105</f>
        <v>0.93348115299334811</v>
      </c>
      <c r="S31" s="391">
        <f>+'Expense Detail'!I113</f>
        <v>0.83870967741935487</v>
      </c>
    </row>
    <row r="32" spans="1:19" ht="15" customHeight="1" x14ac:dyDescent="0.3">
      <c r="A32" s="21" t="s">
        <v>13</v>
      </c>
      <c r="B32" s="242">
        <v>79</v>
      </c>
      <c r="C32" s="241">
        <v>15</v>
      </c>
      <c r="D32" s="316">
        <v>5</v>
      </c>
      <c r="E32" s="277">
        <f t="shared" ref="E32:E35" si="12">ROUND(SUM(B32:D32),0)</f>
        <v>99</v>
      </c>
      <c r="G32" s="34">
        <f>+G31</f>
        <v>375</v>
      </c>
      <c r="H32" s="35">
        <f>+G32+50</f>
        <v>425</v>
      </c>
      <c r="I32" s="36">
        <f>+H32+50</f>
        <v>475</v>
      </c>
      <c r="K32" s="38">
        <f t="shared" ref="K32:K36" si="13">(B32*G32)+(C32*H32)+(D32*I32)</f>
        <v>38375</v>
      </c>
      <c r="L32" s="396"/>
      <c r="M32" s="248" t="s">
        <v>80</v>
      </c>
      <c r="N32" s="242">
        <f>ROUND(($E31+$E32)*N31,0)-5</f>
        <v>286</v>
      </c>
      <c r="O32" s="242">
        <f t="shared" ref="O32:S32" si="14">ROUND(($E31+$E32)*O31,0)-5</f>
        <v>332</v>
      </c>
      <c r="P32" s="242">
        <f t="shared" si="14"/>
        <v>388</v>
      </c>
      <c r="Q32" s="242">
        <f t="shared" si="14"/>
        <v>372</v>
      </c>
      <c r="R32" s="242">
        <f>ROUND(($E31+$E32)*R31,0)</f>
        <v>400</v>
      </c>
      <c r="S32" s="275">
        <f t="shared" si="14"/>
        <v>355</v>
      </c>
    </row>
    <row r="33" spans="1:27" ht="15" customHeight="1" x14ac:dyDescent="0.3">
      <c r="A33" s="21" t="s">
        <v>301</v>
      </c>
      <c r="B33" s="242">
        <v>63</v>
      </c>
      <c r="C33" s="241">
        <v>11</v>
      </c>
      <c r="D33" s="316">
        <v>3</v>
      </c>
      <c r="E33" s="277">
        <f t="shared" si="12"/>
        <v>77</v>
      </c>
      <c r="G33" s="34">
        <v>200</v>
      </c>
      <c r="H33" s="35">
        <v>225</v>
      </c>
      <c r="I33" s="36">
        <v>250</v>
      </c>
      <c r="K33" s="38">
        <f t="shared" si="13"/>
        <v>15825</v>
      </c>
      <c r="L33" s="396"/>
      <c r="M33" s="248" t="s">
        <v>98</v>
      </c>
      <c r="N33" s="242">
        <f>ROUND($E33*N31,0)</f>
        <v>52</v>
      </c>
      <c r="O33" s="242">
        <f t="shared" ref="O33:S33" si="15">ROUND($E33*O31,0)</f>
        <v>60</v>
      </c>
      <c r="P33" s="242">
        <f t="shared" si="15"/>
        <v>71</v>
      </c>
      <c r="Q33" s="242">
        <f t="shared" si="15"/>
        <v>68</v>
      </c>
      <c r="R33" s="242">
        <v>0</v>
      </c>
      <c r="S33" s="275">
        <f t="shared" si="15"/>
        <v>65</v>
      </c>
    </row>
    <row r="34" spans="1:27" ht="15" customHeight="1" x14ac:dyDescent="0.3">
      <c r="A34" s="21" t="s">
        <v>9</v>
      </c>
      <c r="B34" s="242">
        <v>18</v>
      </c>
      <c r="C34" s="241">
        <v>1</v>
      </c>
      <c r="D34" s="316">
        <v>0</v>
      </c>
      <c r="E34" s="277">
        <f t="shared" si="12"/>
        <v>19</v>
      </c>
      <c r="G34" s="34">
        <v>150</v>
      </c>
      <c r="H34" s="35">
        <v>175</v>
      </c>
      <c r="I34" s="36">
        <v>200</v>
      </c>
      <c r="K34" s="38">
        <f t="shared" si="13"/>
        <v>2875</v>
      </c>
      <c r="L34" s="396"/>
      <c r="M34" s="248" t="s">
        <v>99</v>
      </c>
      <c r="N34" s="242">
        <f>ROUND($E34*N31,0)</f>
        <v>13</v>
      </c>
      <c r="O34" s="242">
        <f t="shared" ref="O34:S34" si="16">ROUND($E34*O31,0)</f>
        <v>15</v>
      </c>
      <c r="P34" s="242">
        <f t="shared" si="16"/>
        <v>17</v>
      </c>
      <c r="Q34" s="242">
        <f t="shared" si="16"/>
        <v>17</v>
      </c>
      <c r="R34" s="242">
        <v>0</v>
      </c>
      <c r="S34" s="275">
        <f t="shared" si="16"/>
        <v>16</v>
      </c>
    </row>
    <row r="35" spans="1:27" ht="15" customHeight="1" x14ac:dyDescent="0.3">
      <c r="A35" s="21" t="s">
        <v>286</v>
      </c>
      <c r="B35" s="242">
        <v>15</v>
      </c>
      <c r="C35" s="241">
        <v>0</v>
      </c>
      <c r="D35" s="316">
        <v>0</v>
      </c>
      <c r="E35" s="277">
        <f t="shared" si="12"/>
        <v>15</v>
      </c>
      <c r="G35" s="34">
        <v>0</v>
      </c>
      <c r="H35" s="35">
        <v>0</v>
      </c>
      <c r="I35" s="36">
        <v>0</v>
      </c>
      <c r="K35" s="38">
        <f t="shared" si="13"/>
        <v>0</v>
      </c>
      <c r="M35" s="248" t="s">
        <v>121</v>
      </c>
      <c r="N35" s="242">
        <v>0</v>
      </c>
      <c r="O35" s="242">
        <v>0</v>
      </c>
      <c r="P35" s="242">
        <v>0</v>
      </c>
      <c r="Q35" s="242">
        <v>0</v>
      </c>
      <c r="R35" s="242">
        <v>0</v>
      </c>
      <c r="S35" s="275">
        <v>0</v>
      </c>
    </row>
    <row r="36" spans="1:27" ht="15" customHeight="1" x14ac:dyDescent="0.3">
      <c r="A36" s="21" t="s">
        <v>285</v>
      </c>
      <c r="B36" s="249">
        <v>0</v>
      </c>
      <c r="C36" s="241">
        <v>0</v>
      </c>
      <c r="D36" s="241">
        <v>5</v>
      </c>
      <c r="E36" s="21">
        <f>SUM(B36:D36)</f>
        <v>5</v>
      </c>
      <c r="G36" s="34">
        <v>0</v>
      </c>
      <c r="H36" s="35">
        <v>0</v>
      </c>
      <c r="I36" s="36">
        <v>150</v>
      </c>
      <c r="K36" s="38">
        <f t="shared" si="13"/>
        <v>750</v>
      </c>
      <c r="M36" s="248" t="s">
        <v>101</v>
      </c>
      <c r="N36" s="242">
        <v>0</v>
      </c>
      <c r="O36" s="242">
        <v>0</v>
      </c>
      <c r="P36" s="242">
        <v>0</v>
      </c>
      <c r="Q36" s="242">
        <v>0</v>
      </c>
      <c r="R36" s="242">
        <v>0</v>
      </c>
      <c r="S36" s="275">
        <v>0</v>
      </c>
    </row>
    <row r="37" spans="1:27" ht="15" customHeight="1" x14ac:dyDescent="0.3">
      <c r="A37" s="40" t="s">
        <v>7</v>
      </c>
      <c r="B37" s="313">
        <f>SUM(B31:B36)</f>
        <v>443</v>
      </c>
      <c r="C37" s="314">
        <f>ROUND(SUM(C31:C36),0)</f>
        <v>76</v>
      </c>
      <c r="D37" s="315">
        <f>ROUND(SUM(D31:D36),0)</f>
        <v>26</v>
      </c>
      <c r="E37" s="43">
        <f>SUM(E31:E36)</f>
        <v>545</v>
      </c>
      <c r="F37" s="41"/>
      <c r="G37" s="40"/>
      <c r="H37" s="41"/>
      <c r="I37" s="42"/>
      <c r="J37" s="41"/>
      <c r="K37" s="44">
        <f>SUM(K31:K36)</f>
        <v>185325</v>
      </c>
      <c r="N37" s="276">
        <f>SUM(N32:N36)</f>
        <v>351</v>
      </c>
      <c r="O37" s="276">
        <f t="shared" ref="O37:S37" si="17">SUM(O32:O36)</f>
        <v>407</v>
      </c>
      <c r="P37" s="276">
        <f t="shared" si="17"/>
        <v>476</v>
      </c>
      <c r="Q37" s="276">
        <f t="shared" si="17"/>
        <v>457</v>
      </c>
      <c r="R37" s="276">
        <f t="shared" si="17"/>
        <v>400</v>
      </c>
      <c r="S37" s="392">
        <f t="shared" si="17"/>
        <v>436</v>
      </c>
    </row>
    <row r="38" spans="1:27" ht="15" customHeight="1" x14ac:dyDescent="0.3">
      <c r="C38" s="343"/>
      <c r="D38" s="4"/>
    </row>
    <row r="39" spans="1:27" ht="15" customHeight="1" x14ac:dyDescent="0.3">
      <c r="A39" s="47" t="s">
        <v>352</v>
      </c>
      <c r="B39" s="48" t="s">
        <v>187</v>
      </c>
      <c r="C39" s="48" t="s">
        <v>186</v>
      </c>
      <c r="N39" s="251"/>
      <c r="U39" s="395" t="s">
        <v>288</v>
      </c>
    </row>
    <row r="40" spans="1:27" ht="15" customHeight="1" x14ac:dyDescent="0.3">
      <c r="A40" s="25" t="s">
        <v>293</v>
      </c>
      <c r="B40" s="320">
        <f>+E31+E36</f>
        <v>335</v>
      </c>
      <c r="C40" s="320">
        <f>+B40-C18</f>
        <v>55</v>
      </c>
      <c r="N40" s="393" t="s">
        <v>279</v>
      </c>
      <c r="O40" s="279"/>
      <c r="P40" s="234"/>
      <c r="Q40" s="234"/>
      <c r="V40" s="393" t="s">
        <v>280</v>
      </c>
      <c r="W40" s="279"/>
    </row>
    <row r="41" spans="1:27" ht="15" customHeight="1" x14ac:dyDescent="0.3">
      <c r="A41" s="25" t="s">
        <v>59</v>
      </c>
      <c r="B41" s="320">
        <f>+E32</f>
        <v>99</v>
      </c>
      <c r="C41" s="320">
        <f>+B41-C19</f>
        <v>14</v>
      </c>
      <c r="N41" s="54" t="s">
        <v>272</v>
      </c>
      <c r="O41" s="56" t="s">
        <v>273</v>
      </c>
      <c r="P41" s="55" t="s">
        <v>274</v>
      </c>
      <c r="Q41" s="56" t="s">
        <v>275</v>
      </c>
      <c r="R41" s="56" t="s">
        <v>276</v>
      </c>
      <c r="S41" s="56" t="s">
        <v>277</v>
      </c>
      <c r="V41" s="54" t="s">
        <v>272</v>
      </c>
      <c r="W41" s="56" t="s">
        <v>273</v>
      </c>
      <c r="X41" s="55" t="s">
        <v>274</v>
      </c>
      <c r="Y41" s="56" t="s">
        <v>275</v>
      </c>
      <c r="Z41" s="56" t="s">
        <v>276</v>
      </c>
      <c r="AA41" s="56" t="s">
        <v>277</v>
      </c>
    </row>
    <row r="42" spans="1:27" ht="15" customHeight="1" x14ac:dyDescent="0.3">
      <c r="A42" s="25" t="s">
        <v>60</v>
      </c>
      <c r="B42" s="321">
        <f>+E33+E34+E35</f>
        <v>111</v>
      </c>
      <c r="C42" s="321">
        <f>+B42-C20</f>
        <v>24</v>
      </c>
      <c r="M42" s="248" t="s">
        <v>278</v>
      </c>
      <c r="N42" s="388">
        <f>+'Expense Detail'!B62</f>
        <v>0.45401629802095461</v>
      </c>
      <c r="O42" s="388">
        <f>+'Expense Detail'!B76</f>
        <v>0.61117578579743892</v>
      </c>
      <c r="P42" s="388">
        <f>+'Expense Detail'!B83</f>
        <v>0.77997671711292205</v>
      </c>
      <c r="Q42" s="388">
        <f>+'Expense Detail'!B98</f>
        <v>0.88474970896391147</v>
      </c>
      <c r="R42" s="388">
        <f>+'Expense Detail'!B105</f>
        <v>0.95</v>
      </c>
      <c r="S42" s="391">
        <f>+'Expense Detail'!B113</f>
        <v>0.72176949941792778</v>
      </c>
      <c r="U42" s="248" t="s">
        <v>278</v>
      </c>
      <c r="V42" s="388">
        <v>0.55000000000000004</v>
      </c>
      <c r="W42" s="388">
        <v>0.65</v>
      </c>
      <c r="X42" s="388">
        <v>0.75</v>
      </c>
      <c r="Y42" s="388">
        <v>0.98</v>
      </c>
      <c r="Z42" s="388">
        <f t="shared" ref="Z42" si="18">+R42</f>
        <v>0.95</v>
      </c>
      <c r="AA42" s="391">
        <v>0.92</v>
      </c>
    </row>
    <row r="43" spans="1:27" ht="15" customHeight="1" x14ac:dyDescent="0.3">
      <c r="A43" s="49" t="s">
        <v>61</v>
      </c>
      <c r="B43" s="322">
        <f>SUM(B40:B42)</f>
        <v>545</v>
      </c>
      <c r="C43" s="322">
        <f>SUM(C40:C42)</f>
        <v>93</v>
      </c>
      <c r="M43" s="248" t="s">
        <v>80</v>
      </c>
      <c r="N43" s="242">
        <f>ROUND(($E31+$E32)*N42,0)-5</f>
        <v>190</v>
      </c>
      <c r="O43" s="242">
        <f t="shared" ref="O43:S43" si="19">ROUND(($E31+$E32)*O42,0)-5</f>
        <v>257</v>
      </c>
      <c r="P43" s="242">
        <f t="shared" si="19"/>
        <v>330</v>
      </c>
      <c r="Q43" s="242">
        <f t="shared" si="19"/>
        <v>375</v>
      </c>
      <c r="R43" s="242">
        <f>ROUND(($E31+$E32)*0.95,0)</f>
        <v>408</v>
      </c>
      <c r="S43" s="275">
        <f t="shared" si="19"/>
        <v>305</v>
      </c>
      <c r="U43" s="248" t="s">
        <v>80</v>
      </c>
      <c r="V43" s="242">
        <f>ROUND(($E31+$E32)*V42,0)-5</f>
        <v>231</v>
      </c>
      <c r="W43" s="242">
        <f t="shared" ref="W43" si="20">ROUND(($E31+$E32)*W42,0)-5</f>
        <v>274</v>
      </c>
      <c r="X43" s="242">
        <f t="shared" ref="X43" si="21">ROUND(($E31+$E32)*X42,0)-5</f>
        <v>317</v>
      </c>
      <c r="Y43" s="242">
        <f t="shared" ref="Y43" si="22">ROUND(($E31+$E32)*Y42,0)-5</f>
        <v>415</v>
      </c>
      <c r="Z43" s="242">
        <f>ROUND(($E31+$E32)*Z42,0)</f>
        <v>408</v>
      </c>
      <c r="AA43" s="275">
        <f t="shared" ref="AA43" si="23">ROUND(($E31+$E32)*AA42,0)-5</f>
        <v>390</v>
      </c>
    </row>
    <row r="44" spans="1:27" ht="15" customHeight="1" x14ac:dyDescent="0.3">
      <c r="M44" s="248" t="s">
        <v>98</v>
      </c>
      <c r="N44" s="242">
        <f>ROUND($E33*N42,0)</f>
        <v>35</v>
      </c>
      <c r="O44" s="242">
        <f t="shared" ref="O44:Q44" si="24">ROUND($E33*O42,0)</f>
        <v>47</v>
      </c>
      <c r="P44" s="242">
        <f t="shared" si="24"/>
        <v>60</v>
      </c>
      <c r="Q44" s="242">
        <f t="shared" si="24"/>
        <v>68</v>
      </c>
      <c r="R44" s="242">
        <v>0</v>
      </c>
      <c r="S44" s="275">
        <f t="shared" ref="S44" si="25">ROUND($E33*S42,0)</f>
        <v>56</v>
      </c>
      <c r="U44" s="248" t="s">
        <v>98</v>
      </c>
      <c r="V44" s="242">
        <f>ROUND($E33*V42,0)</f>
        <v>42</v>
      </c>
      <c r="W44" s="242">
        <f t="shared" ref="W44:Y44" si="26">ROUND($E33*W42,0)</f>
        <v>50</v>
      </c>
      <c r="X44" s="242">
        <f t="shared" si="26"/>
        <v>58</v>
      </c>
      <c r="Y44" s="242">
        <f t="shared" si="26"/>
        <v>75</v>
      </c>
      <c r="Z44" s="242">
        <v>0</v>
      </c>
      <c r="AA44" s="275">
        <f t="shared" ref="AA44" si="27">ROUND($E33*AA42,0)</f>
        <v>71</v>
      </c>
    </row>
    <row r="45" spans="1:27" ht="15" customHeight="1" x14ac:dyDescent="0.3">
      <c r="A45" s="51" t="s">
        <v>57</v>
      </c>
      <c r="B45" s="23"/>
      <c r="C45" s="23"/>
      <c r="D45" s="23"/>
      <c r="E45" s="23"/>
      <c r="F45" s="23"/>
      <c r="G45" s="23"/>
      <c r="H45" s="23"/>
      <c r="I45" s="23"/>
      <c r="J45" s="23"/>
      <c r="K45" s="24"/>
      <c r="M45" s="248" t="s">
        <v>99</v>
      </c>
      <c r="N45" s="242">
        <f>ROUND($E34*N42,0)</f>
        <v>9</v>
      </c>
      <c r="O45" s="242">
        <f t="shared" ref="O45:Q45" si="28">ROUND($E34*O42,0)</f>
        <v>12</v>
      </c>
      <c r="P45" s="242">
        <f t="shared" si="28"/>
        <v>15</v>
      </c>
      <c r="Q45" s="242">
        <f t="shared" si="28"/>
        <v>17</v>
      </c>
      <c r="R45" s="242">
        <v>0</v>
      </c>
      <c r="S45" s="275">
        <f t="shared" ref="S45" si="29">ROUND($E34*S42,0)</f>
        <v>14</v>
      </c>
      <c r="U45" s="248" t="s">
        <v>99</v>
      </c>
      <c r="V45" s="242">
        <f>ROUND($E34*V42,0)</f>
        <v>10</v>
      </c>
      <c r="W45" s="242">
        <f t="shared" ref="W45:Y45" si="30">ROUND($E34*W42,0)</f>
        <v>12</v>
      </c>
      <c r="X45" s="242">
        <f t="shared" si="30"/>
        <v>14</v>
      </c>
      <c r="Y45" s="242">
        <f t="shared" si="30"/>
        <v>19</v>
      </c>
      <c r="Z45" s="242">
        <v>0</v>
      </c>
      <c r="AA45" s="275">
        <f t="shared" ref="AA45" si="31">ROUND($E34*AA42,0)</f>
        <v>17</v>
      </c>
    </row>
    <row r="46" spans="1:27" ht="15" customHeight="1" x14ac:dyDescent="0.3">
      <c r="A46" s="25" t="str">
        <f>"Actual numbers "&amp;Summary!C8&amp;" projected forward assuming 6 walk-ins at end"</f>
        <v>Actual numbers As of 6/11/18 projected forward assuming 6 walk-ins at end</v>
      </c>
      <c r="B46" s="26"/>
      <c r="C46" s="26"/>
      <c r="D46" s="26"/>
      <c r="E46" s="26"/>
      <c r="F46" s="26"/>
      <c r="G46" s="26"/>
      <c r="H46" s="26"/>
      <c r="I46" s="26"/>
      <c r="J46" s="26"/>
      <c r="K46" s="27"/>
      <c r="M46" s="248" t="s">
        <v>121</v>
      </c>
      <c r="N46" s="242">
        <v>0</v>
      </c>
      <c r="O46" s="242">
        <v>0</v>
      </c>
      <c r="P46" s="242">
        <v>0</v>
      </c>
      <c r="Q46" s="242">
        <v>0</v>
      </c>
      <c r="R46" s="242">
        <v>0</v>
      </c>
      <c r="S46" s="275">
        <v>0</v>
      </c>
      <c r="U46" s="248" t="s">
        <v>121</v>
      </c>
      <c r="V46" s="242">
        <v>0</v>
      </c>
      <c r="W46" s="242">
        <v>0</v>
      </c>
      <c r="X46" s="242">
        <v>0</v>
      </c>
      <c r="Y46" s="242">
        <v>0</v>
      </c>
      <c r="Z46" s="242">
        <v>0</v>
      </c>
      <c r="AA46" s="275">
        <v>0</v>
      </c>
    </row>
    <row r="47" spans="1:27" ht="15" customHeight="1" x14ac:dyDescent="0.3">
      <c r="A47" s="25" t="s">
        <v>264</v>
      </c>
      <c r="B47" s="26"/>
      <c r="C47" s="26"/>
      <c r="D47" s="26"/>
      <c r="E47" s="26"/>
      <c r="F47" s="26"/>
      <c r="G47" s="26"/>
      <c r="H47" s="26"/>
      <c r="I47" s="272"/>
      <c r="J47" s="26"/>
      <c r="K47" s="27"/>
      <c r="M47" s="248" t="s">
        <v>101</v>
      </c>
      <c r="N47" s="242">
        <v>0</v>
      </c>
      <c r="O47" s="242">
        <v>0</v>
      </c>
      <c r="P47" s="242">
        <v>0</v>
      </c>
      <c r="Q47" s="242">
        <v>0</v>
      </c>
      <c r="R47" s="242">
        <v>0</v>
      </c>
      <c r="S47" s="275">
        <v>0</v>
      </c>
      <c r="U47" s="248" t="s">
        <v>101</v>
      </c>
      <c r="V47" s="242">
        <v>0</v>
      </c>
      <c r="W47" s="242">
        <v>0</v>
      </c>
      <c r="X47" s="242">
        <v>0</v>
      </c>
      <c r="Y47" s="242">
        <v>0</v>
      </c>
      <c r="Z47" s="242">
        <v>0</v>
      </c>
      <c r="AA47" s="275">
        <v>0</v>
      </c>
    </row>
    <row r="48" spans="1:27" ht="13.2" customHeight="1" x14ac:dyDescent="0.3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30"/>
      <c r="N48" s="276">
        <f>SUM(N43:N47)</f>
        <v>234</v>
      </c>
      <c r="O48" s="276">
        <f t="shared" ref="O48" si="32">SUM(O43:O47)</f>
        <v>316</v>
      </c>
      <c r="P48" s="276">
        <f t="shared" ref="P48" si="33">SUM(P43:P47)</f>
        <v>405</v>
      </c>
      <c r="Q48" s="276">
        <f t="shared" ref="Q48" si="34">SUM(Q43:Q47)</f>
        <v>460</v>
      </c>
      <c r="R48" s="276">
        <f t="shared" ref="R48" si="35">SUM(R43:R47)</f>
        <v>408</v>
      </c>
      <c r="S48" s="392">
        <f t="shared" ref="S48" si="36">SUM(S43:S47)</f>
        <v>375</v>
      </c>
      <c r="V48" s="276">
        <f>SUM(V43:V47)</f>
        <v>283</v>
      </c>
      <c r="W48" s="276">
        <f t="shared" ref="W48" si="37">SUM(W43:W47)</f>
        <v>336</v>
      </c>
      <c r="X48" s="276">
        <f t="shared" ref="X48" si="38">SUM(X43:X47)</f>
        <v>389</v>
      </c>
      <c r="Y48" s="276">
        <f t="shared" ref="Y48" si="39">SUM(Y43:Y47)</f>
        <v>509</v>
      </c>
      <c r="Z48" s="276">
        <f t="shared" ref="Z48" si="40">SUM(Z43:Z47)</f>
        <v>408</v>
      </c>
      <c r="AA48" s="392">
        <f t="shared" ref="AA48" si="41">SUM(AA43:AA47)</f>
        <v>478</v>
      </c>
    </row>
    <row r="49" spans="1:15" ht="13.2" customHeight="1" x14ac:dyDescent="0.3"/>
    <row r="50" spans="1:15" ht="13.2" customHeight="1" x14ac:dyDescent="0.3"/>
    <row r="51" spans="1:15" ht="13.2" customHeight="1" x14ac:dyDescent="0.3">
      <c r="A51" s="6"/>
      <c r="B51" s="10"/>
      <c r="C51" s="11" t="s">
        <v>347</v>
      </c>
      <c r="D51" s="11"/>
      <c r="E51" s="12"/>
      <c r="F51" s="15"/>
      <c r="G51" s="10"/>
      <c r="H51" s="13" t="s">
        <v>63</v>
      </c>
      <c r="I51" s="14"/>
      <c r="J51" s="15"/>
      <c r="K51" s="39" t="s">
        <v>320</v>
      </c>
    </row>
    <row r="52" spans="1:15" ht="13.2" customHeight="1" x14ac:dyDescent="0.3">
      <c r="A52" s="52" t="str">
        <f>"FINAL "&amp;Summary!D8</f>
        <v>FINAL As of 6/22/18</v>
      </c>
      <c r="B52" s="7" t="s">
        <v>5</v>
      </c>
      <c r="C52" s="8" t="s">
        <v>6</v>
      </c>
      <c r="D52" s="8" t="s">
        <v>12</v>
      </c>
      <c r="E52" s="9" t="s">
        <v>7</v>
      </c>
      <c r="F52" s="16"/>
      <c r="G52" s="17" t="s">
        <v>5</v>
      </c>
      <c r="H52" s="18" t="s">
        <v>6</v>
      </c>
      <c r="I52" s="19" t="s">
        <v>12</v>
      </c>
      <c r="J52" s="8"/>
      <c r="K52" s="468" t="s">
        <v>64</v>
      </c>
    </row>
    <row r="53" spans="1:15" ht="13.2" customHeight="1" x14ac:dyDescent="0.3">
      <c r="A53" s="20" t="s">
        <v>304</v>
      </c>
      <c r="B53" s="253">
        <f>264+10</f>
        <v>274</v>
      </c>
      <c r="C53" s="254">
        <f>49+1</f>
        <v>50</v>
      </c>
      <c r="D53" s="254">
        <f>14+5</f>
        <v>19</v>
      </c>
      <c r="E53" s="20">
        <f>SUM(B53:D53)</f>
        <v>343</v>
      </c>
      <c r="F53" s="3"/>
      <c r="G53" s="31">
        <v>375</v>
      </c>
      <c r="H53" s="32">
        <f>+G53+50</f>
        <v>425</v>
      </c>
      <c r="I53" s="33">
        <f>+H53+50</f>
        <v>475</v>
      </c>
      <c r="K53" s="37">
        <f>(B53*G53)+(C53*H53)+(D53*I53)</f>
        <v>133025</v>
      </c>
      <c r="L53" s="273"/>
      <c r="N53" s="273"/>
      <c r="O53" s="273"/>
    </row>
    <row r="54" spans="1:15" ht="13.2" customHeight="1" x14ac:dyDescent="0.3">
      <c r="A54" s="21" t="s">
        <v>13</v>
      </c>
      <c r="B54" s="255">
        <f>'Registration Grid'!B39-'Attendance, Revenue'!B53</f>
        <v>71</v>
      </c>
      <c r="C54" s="256">
        <f>'Registration Grid'!B42-'Attendance, Revenue'!C53</f>
        <v>14</v>
      </c>
      <c r="D54" s="256">
        <f>'Registration Grid'!B41-'Attendance, Revenue'!D53</f>
        <v>6</v>
      </c>
      <c r="E54" s="21">
        <f>SUM(B54:D54)</f>
        <v>91</v>
      </c>
      <c r="G54" s="34">
        <f>+G53</f>
        <v>375</v>
      </c>
      <c r="H54" s="35">
        <f>+G54+50</f>
        <v>425</v>
      </c>
      <c r="I54" s="36">
        <f>+H54+50</f>
        <v>475</v>
      </c>
      <c r="K54" s="38">
        <f t="shared" ref="K54:K58" si="42">(B54*G54)+(C54*H54)+(D54*I54)</f>
        <v>35425</v>
      </c>
    </row>
    <row r="55" spans="1:15" ht="13.2" customHeight="1" x14ac:dyDescent="0.3">
      <c r="A55" s="21" t="s">
        <v>301</v>
      </c>
      <c r="B55" s="255">
        <f>+'Registration Grid'!B47</f>
        <v>61</v>
      </c>
      <c r="C55" s="256">
        <f>+'Registration Grid'!B49</f>
        <v>11</v>
      </c>
      <c r="D55" s="256">
        <f>+'Registration Grid'!B48</f>
        <v>8</v>
      </c>
      <c r="E55" s="21">
        <f t="shared" ref="E55:E57" si="43">SUM(B55:D55)</f>
        <v>80</v>
      </c>
      <c r="G55" s="34">
        <v>200</v>
      </c>
      <c r="H55" s="35">
        <v>225</v>
      </c>
      <c r="I55" s="36">
        <v>250</v>
      </c>
      <c r="K55" s="38">
        <f t="shared" si="42"/>
        <v>16675</v>
      </c>
    </row>
    <row r="56" spans="1:15" ht="13.2" customHeight="1" x14ac:dyDescent="0.3">
      <c r="A56" s="21" t="s">
        <v>9</v>
      </c>
      <c r="B56" s="255">
        <f>+'Registration Grid'!B43</f>
        <v>18</v>
      </c>
      <c r="C56" s="256">
        <f>+'Registration Grid'!B45</f>
        <v>1</v>
      </c>
      <c r="D56" s="256">
        <f>+'Registration Grid'!B44</f>
        <v>2</v>
      </c>
      <c r="E56" s="21">
        <f t="shared" si="43"/>
        <v>21</v>
      </c>
      <c r="G56" s="34">
        <v>150</v>
      </c>
      <c r="H56" s="35">
        <v>175</v>
      </c>
      <c r="I56" s="36">
        <v>200</v>
      </c>
      <c r="K56" s="38">
        <f t="shared" si="42"/>
        <v>3275</v>
      </c>
    </row>
    <row r="57" spans="1:15" ht="13.2" customHeight="1" x14ac:dyDescent="0.3">
      <c r="A57" s="21" t="s">
        <v>306</v>
      </c>
      <c r="B57" s="255">
        <f>+'Registration Grid'!B50</f>
        <v>4</v>
      </c>
      <c r="C57" s="256">
        <f>+'Registration Grid'!B51</f>
        <v>3</v>
      </c>
      <c r="D57" s="256">
        <f>+'Registration Grid'!B40</f>
        <v>11</v>
      </c>
      <c r="E57" s="21">
        <f t="shared" si="43"/>
        <v>18</v>
      </c>
      <c r="G57" s="34">
        <v>0</v>
      </c>
      <c r="H57" s="35">
        <f>1075/3</f>
        <v>358.33333333333331</v>
      </c>
      <c r="I57" s="36">
        <v>0</v>
      </c>
      <c r="K57" s="38">
        <f t="shared" si="42"/>
        <v>1075</v>
      </c>
      <c r="L57" t="s">
        <v>302</v>
      </c>
    </row>
    <row r="58" spans="1:15" ht="13.2" customHeight="1" x14ac:dyDescent="0.3">
      <c r="A58" s="21" t="s">
        <v>285</v>
      </c>
      <c r="B58" s="458">
        <f>+B36</f>
        <v>0</v>
      </c>
      <c r="C58" s="256">
        <f>+C36</f>
        <v>0</v>
      </c>
      <c r="D58" s="26">
        <f>+'Registration Grid'!B46</f>
        <v>5</v>
      </c>
      <c r="E58" s="21">
        <f>SUM(B58:D58)</f>
        <v>5</v>
      </c>
      <c r="G58" s="34">
        <v>0</v>
      </c>
      <c r="H58" s="35">
        <v>0</v>
      </c>
      <c r="I58" s="36">
        <v>150</v>
      </c>
      <c r="K58" s="38">
        <f t="shared" si="42"/>
        <v>750</v>
      </c>
    </row>
    <row r="59" spans="1:15" ht="13.2" customHeight="1" x14ac:dyDescent="0.3">
      <c r="A59" s="40" t="s">
        <v>7</v>
      </c>
      <c r="B59" s="40">
        <f>SUM(B53:B58)</f>
        <v>428</v>
      </c>
      <c r="C59" s="41">
        <f t="shared" ref="C59" si="44">SUM(C53:C58)</f>
        <v>79</v>
      </c>
      <c r="D59" s="42">
        <f t="shared" ref="D59" si="45">SUM(D53:D58)</f>
        <v>51</v>
      </c>
      <c r="E59" s="43">
        <f>SUM(E53:E58)</f>
        <v>558</v>
      </c>
      <c r="F59" s="41"/>
      <c r="G59" s="40"/>
      <c r="H59" s="41"/>
      <c r="I59" s="42"/>
      <c r="J59" s="41"/>
      <c r="K59" s="44">
        <f>SUM(K53:K58)</f>
        <v>190225</v>
      </c>
    </row>
    <row r="60" spans="1:15" ht="13.2" customHeight="1" thickBot="1" x14ac:dyDescent="0.35"/>
    <row r="61" spans="1:15" ht="13.2" customHeight="1" x14ac:dyDescent="0.3">
      <c r="A61" s="47" t="s">
        <v>351</v>
      </c>
      <c r="B61" s="48" t="s">
        <v>113</v>
      </c>
      <c r="C61" s="48" t="s">
        <v>292</v>
      </c>
      <c r="E61" s="343"/>
      <c r="H61" s="345"/>
      <c r="I61" s="462" t="s">
        <v>175</v>
      </c>
      <c r="J61" s="346"/>
      <c r="K61" s="463">
        <f>+'Registration Grid'!B31</f>
        <v>2800</v>
      </c>
    </row>
    <row r="62" spans="1:15" ht="13.2" customHeight="1" x14ac:dyDescent="0.3">
      <c r="A62" s="25" t="s">
        <v>305</v>
      </c>
      <c r="B62" s="45">
        <f>+E53+3+9</f>
        <v>355</v>
      </c>
      <c r="C62" s="320">
        <f>+B62-B40</f>
        <v>20</v>
      </c>
      <c r="D62" t="s">
        <v>307</v>
      </c>
      <c r="H62" s="350"/>
      <c r="I62" s="272" t="s">
        <v>316</v>
      </c>
      <c r="J62" s="26"/>
      <c r="K62" s="464">
        <f>+'Registration Grid'!B32</f>
        <v>540</v>
      </c>
    </row>
    <row r="63" spans="1:15" ht="13.2" customHeight="1" x14ac:dyDescent="0.3">
      <c r="A63" s="25" t="s">
        <v>308</v>
      </c>
      <c r="B63" s="460">
        <f>+E54+(C57+D57+D58-3-9)</f>
        <v>98</v>
      </c>
      <c r="C63" s="320">
        <f>+B63-B41</f>
        <v>-1</v>
      </c>
      <c r="D63" t="s">
        <v>309</v>
      </c>
      <c r="H63" s="350"/>
      <c r="I63" s="272" t="s">
        <v>319</v>
      </c>
      <c r="J63" s="26"/>
      <c r="K63" s="464">
        <f>+'Registration Grid'!B33</f>
        <v>425</v>
      </c>
      <c r="M63" s="251"/>
    </row>
    <row r="64" spans="1:15" ht="13.2" customHeight="1" x14ac:dyDescent="0.3">
      <c r="A64" s="25" t="s">
        <v>60</v>
      </c>
      <c r="B64" s="459">
        <f>E55+E56+B57</f>
        <v>105</v>
      </c>
      <c r="C64" s="321">
        <f>+B64-B42</f>
        <v>-6</v>
      </c>
      <c r="H64" s="350"/>
      <c r="I64" s="272" t="s">
        <v>102</v>
      </c>
      <c r="J64" s="26"/>
      <c r="K64" s="467">
        <f>+'Registration Grid'!B34</f>
        <v>2925</v>
      </c>
      <c r="M64" s="235"/>
    </row>
    <row r="65" spans="1:11" ht="13.2" customHeight="1" thickBot="1" x14ac:dyDescent="0.35">
      <c r="A65" s="49" t="s">
        <v>61</v>
      </c>
      <c r="B65" s="50">
        <f>SUM(B62:B64)</f>
        <v>558</v>
      </c>
      <c r="C65" s="50">
        <f>SUM(C62:C64)</f>
        <v>13</v>
      </c>
      <c r="H65" s="374"/>
      <c r="I65" s="465" t="s">
        <v>110</v>
      </c>
      <c r="J65" s="375"/>
      <c r="K65" s="466">
        <f>+K59+SUM(K61:K64)</f>
        <v>196915</v>
      </c>
    </row>
    <row r="66" spans="1:11" ht="13.2" customHeight="1" x14ac:dyDescent="0.3">
      <c r="G66" t="s">
        <v>343</v>
      </c>
    </row>
    <row r="67" spans="1:11" ht="13.2" customHeight="1" x14ac:dyDescent="0.3">
      <c r="A67" s="51" t="s">
        <v>57</v>
      </c>
      <c r="B67" s="23"/>
      <c r="C67" s="23"/>
      <c r="D67" s="23"/>
      <c r="E67" s="23"/>
      <c r="F67" s="23"/>
      <c r="G67" s="23"/>
      <c r="H67" s="23"/>
      <c r="I67" s="23"/>
      <c r="J67" s="23"/>
      <c r="K67" s="24"/>
    </row>
    <row r="68" spans="1:11" ht="13.2" customHeight="1" x14ac:dyDescent="0.3">
      <c r="A68" s="25" t="s">
        <v>317</v>
      </c>
      <c r="B68" s="26"/>
      <c r="C68" s="26"/>
      <c r="D68" s="26"/>
      <c r="E68" s="26"/>
      <c r="F68" s="26"/>
      <c r="G68" s="26"/>
      <c r="H68" s="26"/>
      <c r="I68" s="26"/>
      <c r="J68" s="26"/>
      <c r="K68" s="27"/>
    </row>
    <row r="69" spans="1:11" ht="13.2" customHeight="1" x14ac:dyDescent="0.3">
      <c r="A69" s="482" t="s">
        <v>350</v>
      </c>
      <c r="B69" s="26"/>
      <c r="C69" s="26"/>
      <c r="D69" s="26"/>
      <c r="E69" s="26"/>
      <c r="F69" s="26"/>
      <c r="G69" s="26"/>
      <c r="H69" s="26"/>
      <c r="I69" s="26"/>
      <c r="J69" s="26"/>
      <c r="K69" s="27"/>
    </row>
    <row r="70" spans="1:11" ht="13.2" customHeight="1" x14ac:dyDescent="0.3">
      <c r="A70" s="28"/>
      <c r="B70" s="29"/>
      <c r="C70" s="29"/>
      <c r="D70" s="29"/>
      <c r="E70" s="29"/>
      <c r="F70" s="29"/>
      <c r="G70" s="29"/>
      <c r="H70" s="29"/>
      <c r="I70" s="29"/>
      <c r="J70" s="29"/>
      <c r="K70" s="30"/>
    </row>
    <row r="71" spans="1:11" ht="13.2" customHeight="1" x14ac:dyDescent="0.3"/>
    <row r="72" spans="1:11" ht="15" customHeight="1" x14ac:dyDescent="0.3"/>
    <row r="73" spans="1:11" ht="15" customHeight="1" x14ac:dyDescent="0.3"/>
  </sheetData>
  <phoneticPr fontId="24" type="noConversion"/>
  <printOptions horizontalCentered="1"/>
  <pageMargins left="0.25" right="0.2" top="0" bottom="0" header="0.3" footer="0.3"/>
  <pageSetup orientation="portrait" horizontalDpi="4294967292" verticalDpi="4294967292" r:id="rId1"/>
  <rowBreaks count="2" manualBreakCount="2">
    <brk id="28" max="16383" man="1"/>
    <brk id="50" max="16383" man="1"/>
  </rowBreaks>
  <ignoredErrors>
    <ignoredError sqref="Q9:Q14" formulaRange="1"/>
    <ignoredError sqref="B41" formula="1"/>
  </ignoredError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Y164"/>
  <sheetViews>
    <sheetView topLeftCell="A84" workbookViewId="0">
      <selection activeCell="A108" sqref="A108"/>
    </sheetView>
  </sheetViews>
  <sheetFormatPr defaultColWidth="8.88671875" defaultRowHeight="14.4" x14ac:dyDescent="0.3"/>
  <cols>
    <col min="1" max="1" width="11.44140625" bestFit="1" customWidth="1"/>
    <col min="2" max="2" width="12.44140625" customWidth="1"/>
    <col min="3" max="3" width="20" customWidth="1"/>
    <col min="4" max="4" width="10.33203125" hidden="1" customWidth="1"/>
    <col min="5" max="5" width="9.44140625" hidden="1" customWidth="1"/>
    <col min="6" max="6" width="11.6640625" hidden="1" customWidth="1"/>
    <col min="7" max="7" width="10.109375" hidden="1" customWidth="1"/>
    <col min="8" max="8" width="13.6640625" style="97" hidden="1" customWidth="1"/>
    <col min="9" max="9" width="13" style="404" hidden="1" customWidth="1"/>
    <col min="10" max="12" width="13.6640625" customWidth="1"/>
    <col min="13" max="13" width="13.6640625" style="247" customWidth="1"/>
    <col min="14" max="14" width="13.6640625" style="97" customWidth="1"/>
    <col min="15" max="15" width="11.109375" style="404" customWidth="1"/>
    <col min="16" max="18" width="13.6640625" customWidth="1"/>
    <col min="19" max="19" width="13.6640625" style="436" customWidth="1"/>
    <col min="20" max="20" width="13.6640625" style="97" customWidth="1"/>
    <col min="21" max="21" width="13.6640625" customWidth="1"/>
    <col min="22" max="22" width="11.88671875" bestFit="1" customWidth="1"/>
    <col min="23" max="23" width="9.6640625" bestFit="1" customWidth="1"/>
    <col min="33" max="33" width="11.88671875" customWidth="1"/>
  </cols>
  <sheetData>
    <row r="1" spans="1:20" ht="18" x14ac:dyDescent="0.35">
      <c r="A1" s="1" t="s">
        <v>45</v>
      </c>
      <c r="B1" s="58"/>
      <c r="C1" s="57"/>
      <c r="E1" s="83"/>
      <c r="F1" s="246" t="str">
        <f>Summary!B8</f>
        <v>As of 2/28/18</v>
      </c>
      <c r="G1" s="82"/>
      <c r="H1" s="89"/>
      <c r="I1" s="394"/>
      <c r="J1" s="84"/>
      <c r="K1" s="309"/>
      <c r="L1" s="84" t="str">
        <f>+Summary!C8</f>
        <v>As of 6/11/18</v>
      </c>
      <c r="M1" s="437"/>
      <c r="N1" s="89"/>
      <c r="O1" s="394"/>
      <c r="P1" s="84"/>
      <c r="Q1" s="83"/>
      <c r="R1" s="84" t="str">
        <f>+Summary!D8</f>
        <v>As of 6/22/18</v>
      </c>
      <c r="S1" s="411"/>
      <c r="T1" s="89"/>
    </row>
    <row r="2" spans="1:20" ht="18" x14ac:dyDescent="0.35">
      <c r="A2" s="1"/>
      <c r="B2" s="58"/>
      <c r="C2" s="57"/>
      <c r="D2" s="81"/>
      <c r="E2" s="74"/>
      <c r="F2" s="74"/>
      <c r="G2" s="59"/>
      <c r="H2" s="90"/>
      <c r="I2" s="394"/>
      <c r="J2" s="81"/>
      <c r="K2" s="74"/>
      <c r="L2" s="74"/>
      <c r="M2" s="438"/>
      <c r="N2" s="90"/>
      <c r="O2" s="394"/>
      <c r="P2" s="409" t="s">
        <v>295</v>
      </c>
      <c r="Q2" s="83"/>
      <c r="R2" s="216"/>
      <c r="S2" s="411"/>
      <c r="T2" s="89"/>
    </row>
    <row r="3" spans="1:20" x14ac:dyDescent="0.3">
      <c r="A3" s="57"/>
      <c r="B3" s="58"/>
      <c r="C3" s="60"/>
      <c r="D3" s="489" t="s">
        <v>15</v>
      </c>
      <c r="E3" s="490"/>
      <c r="F3" s="490"/>
      <c r="G3" s="491"/>
      <c r="H3" s="492"/>
      <c r="I3" s="401"/>
      <c r="J3" s="493" t="s">
        <v>50</v>
      </c>
      <c r="K3" s="494"/>
      <c r="L3" s="494"/>
      <c r="M3" s="494"/>
      <c r="N3" s="495"/>
      <c r="O3" s="405"/>
      <c r="P3" s="483" t="s">
        <v>51</v>
      </c>
      <c r="Q3" s="484"/>
      <c r="R3" s="484"/>
      <c r="S3" s="485"/>
      <c r="T3" s="486"/>
    </row>
    <row r="4" spans="1:20" x14ac:dyDescent="0.3">
      <c r="A4" s="57"/>
      <c r="B4" s="58"/>
      <c r="C4" s="60"/>
      <c r="D4" s="61"/>
      <c r="E4" s="62"/>
      <c r="F4" s="62"/>
      <c r="G4" s="63"/>
      <c r="H4" s="91"/>
      <c r="I4" s="85"/>
      <c r="J4" s="61"/>
      <c r="K4" s="62"/>
      <c r="L4" s="62"/>
      <c r="M4" s="439"/>
      <c r="N4" s="91"/>
      <c r="O4" s="86"/>
      <c r="P4" s="174"/>
      <c r="Q4" s="62"/>
      <c r="R4" s="62"/>
      <c r="S4" s="412"/>
      <c r="T4" s="183"/>
    </row>
    <row r="5" spans="1:20" x14ac:dyDescent="0.3">
      <c r="A5" s="57"/>
      <c r="B5" s="58"/>
      <c r="C5" s="60"/>
      <c r="D5" s="66" t="s">
        <v>16</v>
      </c>
      <c r="E5" s="496" t="s">
        <v>17</v>
      </c>
      <c r="F5" s="497"/>
      <c r="G5" s="67" t="s">
        <v>18</v>
      </c>
      <c r="H5" s="92" t="s">
        <v>19</v>
      </c>
      <c r="I5" s="85"/>
      <c r="J5" s="66" t="s">
        <v>16</v>
      </c>
      <c r="K5" s="496" t="s">
        <v>17</v>
      </c>
      <c r="L5" s="497"/>
      <c r="M5" s="440" t="s">
        <v>18</v>
      </c>
      <c r="N5" s="92" t="s">
        <v>19</v>
      </c>
      <c r="O5" s="86"/>
      <c r="P5" s="217" t="s">
        <v>16</v>
      </c>
      <c r="Q5" s="487" t="s">
        <v>17</v>
      </c>
      <c r="R5" s="488"/>
      <c r="S5" s="413" t="s">
        <v>18</v>
      </c>
      <c r="T5" s="218" t="s">
        <v>19</v>
      </c>
    </row>
    <row r="6" spans="1:20" x14ac:dyDescent="0.3">
      <c r="A6" s="82"/>
      <c r="B6" s="129"/>
      <c r="C6" s="60"/>
      <c r="D6" s="139" t="s">
        <v>20</v>
      </c>
      <c r="E6" s="164" t="s">
        <v>21</v>
      </c>
      <c r="F6" s="165" t="s">
        <v>73</v>
      </c>
      <c r="G6" s="166" t="s">
        <v>22</v>
      </c>
      <c r="H6" s="88" t="s">
        <v>7</v>
      </c>
      <c r="I6" s="85"/>
      <c r="J6" s="139" t="s">
        <v>20</v>
      </c>
      <c r="K6" s="164" t="s">
        <v>21</v>
      </c>
      <c r="L6" s="165" t="s">
        <v>73</v>
      </c>
      <c r="M6" s="441" t="s">
        <v>22</v>
      </c>
      <c r="N6" s="88" t="s">
        <v>7</v>
      </c>
      <c r="O6" s="86"/>
      <c r="P6" s="219" t="s">
        <v>20</v>
      </c>
      <c r="Q6" s="220" t="s">
        <v>21</v>
      </c>
      <c r="R6" s="221" t="s">
        <v>73</v>
      </c>
      <c r="S6" s="414" t="s">
        <v>22</v>
      </c>
      <c r="T6" s="222" t="s">
        <v>7</v>
      </c>
    </row>
    <row r="7" spans="1:20" x14ac:dyDescent="0.3">
      <c r="A7" s="167" t="s">
        <v>85</v>
      </c>
      <c r="B7" s="168"/>
      <c r="C7" s="169"/>
      <c r="D7" s="170"/>
      <c r="E7" s="171"/>
      <c r="F7" s="171"/>
      <c r="G7" s="172"/>
      <c r="H7" s="173">
        <f>SUM(G8:G14)</f>
        <v>3850</v>
      </c>
      <c r="I7" s="85"/>
      <c r="J7" s="170"/>
      <c r="K7" s="171"/>
      <c r="L7" s="171"/>
      <c r="M7" s="442"/>
      <c r="N7" s="173">
        <f>SUM(M8:M14)</f>
        <v>3850</v>
      </c>
      <c r="O7" s="85"/>
      <c r="P7" s="258"/>
      <c r="Q7" s="259"/>
      <c r="R7" s="259"/>
      <c r="S7" s="415"/>
      <c r="T7" s="260">
        <f>SUM(S8:S14)</f>
        <v>2238.1</v>
      </c>
    </row>
    <row r="8" spans="1:20" x14ac:dyDescent="0.3">
      <c r="A8" s="174"/>
      <c r="B8" s="175" t="s">
        <v>40</v>
      </c>
      <c r="C8" s="60" t="s">
        <v>41</v>
      </c>
      <c r="D8" s="126">
        <v>3850</v>
      </c>
      <c r="E8" s="83"/>
      <c r="F8" s="83"/>
      <c r="G8" s="130">
        <f>+D8</f>
        <v>3850</v>
      </c>
      <c r="H8" s="228"/>
      <c r="I8" s="85"/>
      <c r="J8" s="126">
        <v>3850</v>
      </c>
      <c r="K8" s="309"/>
      <c r="L8" s="309"/>
      <c r="M8" s="437">
        <f>+J8</f>
        <v>3850</v>
      </c>
      <c r="N8" s="228"/>
      <c r="O8" s="86"/>
      <c r="P8" s="410">
        <v>2238.1</v>
      </c>
      <c r="Q8" s="223"/>
      <c r="R8" s="223"/>
      <c r="S8" s="469">
        <f>+P8</f>
        <v>2238.1</v>
      </c>
      <c r="T8" s="264"/>
    </row>
    <row r="9" spans="1:20" x14ac:dyDescent="0.3">
      <c r="A9" s="177"/>
      <c r="B9" s="138" t="s">
        <v>81</v>
      </c>
      <c r="C9" s="60"/>
      <c r="D9" s="126">
        <v>0</v>
      </c>
      <c r="E9" s="83"/>
      <c r="F9" s="83"/>
      <c r="G9" s="119">
        <f>D9</f>
        <v>0</v>
      </c>
      <c r="H9" s="227"/>
      <c r="I9" s="85"/>
      <c r="J9" s="126">
        <v>0</v>
      </c>
      <c r="K9" s="309"/>
      <c r="L9" s="309"/>
      <c r="M9" s="443">
        <f>J9</f>
        <v>0</v>
      </c>
      <c r="N9" s="227"/>
      <c r="O9" s="86"/>
      <c r="P9" s="265">
        <v>0</v>
      </c>
      <c r="Q9" s="252"/>
      <c r="R9" s="252"/>
      <c r="S9" s="416">
        <f>P9</f>
        <v>0</v>
      </c>
      <c r="T9" s="176"/>
    </row>
    <row r="10" spans="1:20" x14ac:dyDescent="0.3">
      <c r="A10" s="177"/>
      <c r="B10" s="138" t="s">
        <v>42</v>
      </c>
      <c r="C10" s="127" t="s">
        <v>55</v>
      </c>
      <c r="D10" s="65"/>
      <c r="E10" s="178">
        <v>0</v>
      </c>
      <c r="F10" s="83">
        <f>+'Attendance, Revenue'!C21</f>
        <v>452</v>
      </c>
      <c r="G10" s="119">
        <f>E10*F10</f>
        <v>0</v>
      </c>
      <c r="H10" s="228"/>
      <c r="I10" s="85"/>
      <c r="J10" s="65"/>
      <c r="K10" s="178">
        <v>0</v>
      </c>
      <c r="L10" s="309">
        <f>+'Attendance, Revenue'!I21</f>
        <v>0</v>
      </c>
      <c r="M10" s="443">
        <f>K10*L10</f>
        <v>0</v>
      </c>
      <c r="N10" s="228"/>
      <c r="O10" s="86"/>
      <c r="P10" s="177"/>
      <c r="Q10" s="178">
        <v>0.65</v>
      </c>
      <c r="R10" s="267">
        <v>0</v>
      </c>
      <c r="S10" s="416">
        <v>0</v>
      </c>
      <c r="T10" s="179"/>
    </row>
    <row r="11" spans="1:20" x14ac:dyDescent="0.3">
      <c r="A11" s="177"/>
      <c r="B11" s="175" t="s">
        <v>42</v>
      </c>
      <c r="C11" s="127" t="s">
        <v>56</v>
      </c>
      <c r="D11" s="65"/>
      <c r="E11" s="134">
        <v>0</v>
      </c>
      <c r="F11" s="83">
        <f>+F10</f>
        <v>452</v>
      </c>
      <c r="G11" s="119">
        <f>E11*F11</f>
        <v>0</v>
      </c>
      <c r="H11" s="228"/>
      <c r="I11" s="85"/>
      <c r="J11" s="65"/>
      <c r="K11" s="134">
        <v>0</v>
      </c>
      <c r="L11" s="309">
        <f>+L10</f>
        <v>0</v>
      </c>
      <c r="M11" s="443">
        <f>K11*L11</f>
        <v>0</v>
      </c>
      <c r="N11" s="228"/>
      <c r="O11" s="86"/>
      <c r="P11" s="177"/>
      <c r="Q11" s="134">
        <v>0.33</v>
      </c>
      <c r="R11" s="267">
        <v>0</v>
      </c>
      <c r="S11" s="416">
        <v>0</v>
      </c>
      <c r="T11" s="179"/>
    </row>
    <row r="12" spans="1:20" x14ac:dyDescent="0.3">
      <c r="A12" s="177"/>
      <c r="B12" s="138" t="s">
        <v>84</v>
      </c>
      <c r="C12" s="127" t="s">
        <v>82</v>
      </c>
      <c r="D12" s="128">
        <v>0</v>
      </c>
      <c r="E12" s="134">
        <v>0</v>
      </c>
      <c r="F12" s="83">
        <f>+F11</f>
        <v>452</v>
      </c>
      <c r="G12" s="119">
        <f>(E12*F12)+D12</f>
        <v>0</v>
      </c>
      <c r="H12" s="228"/>
      <c r="I12" s="85"/>
      <c r="J12" s="128">
        <v>0</v>
      </c>
      <c r="K12" s="134">
        <v>0</v>
      </c>
      <c r="L12" s="309">
        <f>+L11</f>
        <v>0</v>
      </c>
      <c r="M12" s="443">
        <f>(K12*L12)+J12</f>
        <v>0</v>
      </c>
      <c r="N12" s="228"/>
      <c r="O12" s="86"/>
      <c r="P12" s="266"/>
      <c r="Q12" s="134">
        <v>0.66</v>
      </c>
      <c r="R12" s="267">
        <f>+R11</f>
        <v>0</v>
      </c>
      <c r="S12" s="417">
        <f>+Q12*R12</f>
        <v>0</v>
      </c>
      <c r="T12" s="179"/>
    </row>
    <row r="13" spans="1:20" x14ac:dyDescent="0.3">
      <c r="A13" s="177"/>
      <c r="B13" s="138" t="s">
        <v>83</v>
      </c>
      <c r="C13" s="127" t="s">
        <v>80</v>
      </c>
      <c r="D13" s="128">
        <v>0</v>
      </c>
      <c r="E13" s="134">
        <v>0</v>
      </c>
      <c r="F13" s="180">
        <f>+'Attendance, Revenue'!C18+'Attendance, Revenue'!C19</f>
        <v>365</v>
      </c>
      <c r="G13" s="119">
        <f>(E13*F13)+D13</f>
        <v>0</v>
      </c>
      <c r="H13" s="228"/>
      <c r="I13" s="85"/>
      <c r="J13" s="128">
        <v>0</v>
      </c>
      <c r="K13" s="134">
        <v>0</v>
      </c>
      <c r="L13" s="180">
        <f>+'Attendance, Revenue'!I18+'Attendance, Revenue'!I19</f>
        <v>0</v>
      </c>
      <c r="M13" s="443">
        <f>(K13*L13)+J13</f>
        <v>0</v>
      </c>
      <c r="N13" s="228"/>
      <c r="O13" s="86"/>
      <c r="P13" s="266">
        <v>0</v>
      </c>
      <c r="Q13" s="134">
        <v>0</v>
      </c>
      <c r="R13" s="268">
        <f>+'Attendance, Revenue'!I40+'Attendance, Revenue'!I41</f>
        <v>0</v>
      </c>
      <c r="S13" s="416">
        <f>(Q13*R13)+P13</f>
        <v>0</v>
      </c>
      <c r="T13" s="179"/>
    </row>
    <row r="14" spans="1:20" x14ac:dyDescent="0.3">
      <c r="A14" s="408" t="s">
        <v>294</v>
      </c>
      <c r="B14" s="68"/>
      <c r="C14" s="69"/>
      <c r="D14" s="73"/>
      <c r="E14" s="74"/>
      <c r="F14" s="74"/>
      <c r="G14" s="108"/>
      <c r="H14" s="96"/>
      <c r="I14" s="85"/>
      <c r="J14" s="73"/>
      <c r="K14" s="74"/>
      <c r="L14" s="74"/>
      <c r="M14" s="438"/>
      <c r="N14" s="96"/>
      <c r="O14" s="86"/>
      <c r="P14" s="195"/>
      <c r="Q14" s="199"/>
      <c r="R14" s="199"/>
      <c r="S14" s="418"/>
      <c r="T14" s="202"/>
    </row>
    <row r="15" spans="1:20" x14ac:dyDescent="0.3">
      <c r="A15" s="182" t="s">
        <v>44</v>
      </c>
      <c r="B15" s="99"/>
      <c r="C15" s="125"/>
      <c r="D15" s="100"/>
      <c r="E15" s="101"/>
      <c r="F15" s="101"/>
      <c r="G15" s="118"/>
      <c r="H15" s="102">
        <f>+G16</f>
        <v>4007.5</v>
      </c>
      <c r="I15" s="85"/>
      <c r="J15" s="100"/>
      <c r="K15" s="101"/>
      <c r="L15" s="101"/>
      <c r="M15" s="444"/>
      <c r="N15" s="102">
        <f>+M16</f>
        <v>4633.125</v>
      </c>
      <c r="O15" s="85"/>
      <c r="P15" s="261"/>
      <c r="Q15" s="262"/>
      <c r="R15" s="262"/>
      <c r="S15" s="419"/>
      <c r="T15" s="263">
        <f>+S16</f>
        <v>4922.875</v>
      </c>
    </row>
    <row r="16" spans="1:20" s="26" customFormat="1" ht="21.6" x14ac:dyDescent="0.3">
      <c r="A16" s="177"/>
      <c r="B16" s="131" t="s">
        <v>86</v>
      </c>
      <c r="C16" s="103" t="s">
        <v>87</v>
      </c>
      <c r="D16" s="65"/>
      <c r="E16" s="132">
        <v>2.5000000000000001E-2</v>
      </c>
      <c r="F16" s="83"/>
      <c r="G16" s="318">
        <f>+E16*'Attendance, Revenue'!K15</f>
        <v>4007.5</v>
      </c>
      <c r="H16" s="228"/>
      <c r="I16" s="85"/>
      <c r="J16" s="65"/>
      <c r="K16" s="132">
        <v>2.5000000000000001E-2</v>
      </c>
      <c r="L16" s="309"/>
      <c r="M16" s="445">
        <f>+K16*'Attendance, Revenue'!K37</f>
        <v>4633.125</v>
      </c>
      <c r="N16" s="228"/>
      <c r="O16" s="85"/>
      <c r="P16" s="65"/>
      <c r="Q16" s="132">
        <v>2.5000000000000001E-2</v>
      </c>
      <c r="R16" s="252"/>
      <c r="S16" s="420">
        <f>+Q16*'Attendance, Revenue'!K65</f>
        <v>4922.875</v>
      </c>
      <c r="T16" s="94"/>
    </row>
    <row r="17" spans="1:21" x14ac:dyDescent="0.3">
      <c r="A17" s="181"/>
      <c r="B17" s="68"/>
      <c r="C17" s="69"/>
      <c r="D17" s="73"/>
      <c r="E17" s="74"/>
      <c r="F17" s="74"/>
      <c r="G17" s="108"/>
      <c r="H17" s="96"/>
      <c r="I17" s="85"/>
      <c r="J17" s="73"/>
      <c r="K17" s="74"/>
      <c r="L17" s="74"/>
      <c r="M17" s="438"/>
      <c r="N17" s="96"/>
      <c r="O17" s="85"/>
      <c r="P17" s="73"/>
      <c r="Q17" s="74"/>
      <c r="R17" s="74"/>
      <c r="S17" s="421"/>
      <c r="T17" s="96"/>
    </row>
    <row r="18" spans="1:21" x14ac:dyDescent="0.3">
      <c r="A18" s="184" t="s">
        <v>88</v>
      </c>
      <c r="B18" s="120"/>
      <c r="C18" s="121"/>
      <c r="D18" s="122"/>
      <c r="E18" s="123"/>
      <c r="F18" s="123"/>
      <c r="G18" s="135"/>
      <c r="H18" s="102">
        <f>SUM(G19:G21)</f>
        <v>8577.5</v>
      </c>
      <c r="I18" s="402"/>
      <c r="J18" s="122"/>
      <c r="K18" s="123"/>
      <c r="L18" s="123"/>
      <c r="M18" s="446"/>
      <c r="N18" s="102">
        <f>SUM(M19:M21)</f>
        <v>14250.82</v>
      </c>
      <c r="O18" s="402"/>
      <c r="P18" s="122"/>
      <c r="Q18" s="123"/>
      <c r="R18" s="123"/>
      <c r="S18" s="422"/>
      <c r="T18" s="102">
        <f>SUM(S19:S21)</f>
        <v>14187.55</v>
      </c>
      <c r="U18" s="274"/>
    </row>
    <row r="19" spans="1:21" x14ac:dyDescent="0.3">
      <c r="A19" s="174"/>
      <c r="B19" s="70" t="s">
        <v>185</v>
      </c>
      <c r="C19" s="64" t="s">
        <v>153</v>
      </c>
      <c r="D19" s="61"/>
      <c r="E19" s="133">
        <v>23</v>
      </c>
      <c r="F19" s="80">
        <f>(+'Attendance, Revenue'!C18+'Attendance, Revenue'!C19)/2</f>
        <v>182.5</v>
      </c>
      <c r="G19" s="109">
        <f>E19*F19</f>
        <v>4197.5</v>
      </c>
      <c r="H19" s="227"/>
      <c r="I19" s="85"/>
      <c r="J19" s="61"/>
      <c r="K19" s="133">
        <v>23</v>
      </c>
      <c r="L19" s="80">
        <v>346</v>
      </c>
      <c r="M19" s="447">
        <f>K19*L19</f>
        <v>7958</v>
      </c>
      <c r="N19" s="227"/>
      <c r="O19" s="85"/>
      <c r="P19" s="61"/>
      <c r="Q19" s="133">
        <f>7628.5/R19</f>
        <v>21.073204419889503</v>
      </c>
      <c r="R19" s="80">
        <f>93+93+102+74</f>
        <v>362</v>
      </c>
      <c r="S19" s="457">
        <f>Q19*R19</f>
        <v>7628.5</v>
      </c>
      <c r="T19" s="91"/>
    </row>
    <row r="20" spans="1:21" x14ac:dyDescent="0.3">
      <c r="A20" s="177"/>
      <c r="B20" s="175" t="s">
        <v>154</v>
      </c>
      <c r="C20" s="60" t="s">
        <v>153</v>
      </c>
      <c r="D20" s="65"/>
      <c r="E20" s="134">
        <v>24</v>
      </c>
      <c r="F20" s="180">
        <f>(+'Attendance, Revenue'!C18+'Attendance, Revenue'!C19)/2</f>
        <v>182.5</v>
      </c>
      <c r="G20" s="119">
        <f>+E20*F20</f>
        <v>4380</v>
      </c>
      <c r="H20" s="227"/>
      <c r="I20" s="85"/>
      <c r="J20" s="65"/>
      <c r="K20" s="134">
        <v>24</v>
      </c>
      <c r="L20" s="180">
        <v>83</v>
      </c>
      <c r="M20" s="443">
        <f>+K20*L20</f>
        <v>1992</v>
      </c>
      <c r="N20" s="227"/>
      <c r="O20" s="85"/>
      <c r="P20" s="65"/>
      <c r="Q20" s="134">
        <v>24</v>
      </c>
      <c r="R20" s="180">
        <v>94</v>
      </c>
      <c r="S20" s="427">
        <f>+Q20*R20</f>
        <v>2256</v>
      </c>
      <c r="T20" s="94"/>
    </row>
    <row r="21" spans="1:21" x14ac:dyDescent="0.3">
      <c r="A21" s="177"/>
      <c r="B21" s="175" t="s">
        <v>268</v>
      </c>
      <c r="C21" s="60"/>
      <c r="D21" s="65"/>
      <c r="E21" s="134">
        <v>0</v>
      </c>
      <c r="F21" s="180">
        <v>0</v>
      </c>
      <c r="G21" s="119">
        <f>+E21*F21</f>
        <v>0</v>
      </c>
      <c r="H21" s="227"/>
      <c r="I21" s="85"/>
      <c r="J21" s="65"/>
      <c r="K21" s="134">
        <v>7.18</v>
      </c>
      <c r="L21" s="180">
        <v>599</v>
      </c>
      <c r="M21" s="443">
        <f>+K21*L21</f>
        <v>4300.82</v>
      </c>
      <c r="N21" s="227"/>
      <c r="O21" s="85"/>
      <c r="P21" s="65"/>
      <c r="Q21" s="134">
        <f>4303.05/599</f>
        <v>7.1837228714524208</v>
      </c>
      <c r="R21" s="180">
        <f>+L21</f>
        <v>599</v>
      </c>
      <c r="S21" s="427">
        <f>+Q21*R21</f>
        <v>4303.05</v>
      </c>
      <c r="T21" s="94"/>
    </row>
    <row r="22" spans="1:21" x14ac:dyDescent="0.3">
      <c r="A22" s="177"/>
      <c r="B22" s="138"/>
      <c r="C22" s="103"/>
      <c r="D22" s="65"/>
      <c r="E22" s="134"/>
      <c r="F22" s="180"/>
      <c r="G22" s="119"/>
      <c r="H22" s="94"/>
      <c r="I22" s="85"/>
      <c r="J22" s="65"/>
      <c r="K22" s="134"/>
      <c r="L22" s="180"/>
      <c r="M22" s="443"/>
      <c r="N22" s="94"/>
      <c r="O22" s="85"/>
      <c r="P22" s="65"/>
      <c r="Q22" s="134"/>
      <c r="R22" s="180"/>
      <c r="S22" s="423"/>
      <c r="T22" s="94"/>
    </row>
    <row r="23" spans="1:21" x14ac:dyDescent="0.3">
      <c r="A23" s="182" t="s">
        <v>67</v>
      </c>
      <c r="B23" s="99"/>
      <c r="C23" s="125"/>
      <c r="D23" s="100"/>
      <c r="E23" s="101"/>
      <c r="F23" s="101"/>
      <c r="G23" s="118"/>
      <c r="H23" s="102">
        <f>SUM(H24:H33)</f>
        <v>46285</v>
      </c>
      <c r="I23" s="85"/>
      <c r="J23" s="100"/>
      <c r="K23" s="101"/>
      <c r="L23" s="101"/>
      <c r="M23" s="444"/>
      <c r="N23" s="102">
        <f>SUM(N24:N33)</f>
        <v>52756</v>
      </c>
      <c r="O23" s="85"/>
      <c r="P23" s="100"/>
      <c r="Q23" s="101"/>
      <c r="R23" s="101"/>
      <c r="S23" s="424"/>
      <c r="T23" s="102">
        <f>SUM(T24:T33)</f>
        <v>57234</v>
      </c>
      <c r="U23" s="274"/>
    </row>
    <row r="24" spans="1:21" x14ac:dyDescent="0.3">
      <c r="A24" s="174"/>
      <c r="B24" s="70" t="s">
        <v>107</v>
      </c>
      <c r="C24" s="64"/>
      <c r="D24" s="61"/>
      <c r="E24" s="62"/>
      <c r="F24" s="62"/>
      <c r="G24" s="110"/>
      <c r="H24" s="93">
        <f>SUM(G25:G25)</f>
        <v>28835</v>
      </c>
      <c r="I24" s="85"/>
      <c r="J24" s="61"/>
      <c r="K24" s="62"/>
      <c r="L24" s="62"/>
      <c r="M24" s="439"/>
      <c r="N24" s="93">
        <f>SUM(M25:M25)</f>
        <v>34286</v>
      </c>
      <c r="O24" s="85"/>
      <c r="P24" s="61"/>
      <c r="Q24" s="62"/>
      <c r="R24" s="62"/>
      <c r="S24" s="412"/>
      <c r="T24" s="93">
        <f>SUM(S25:S25)</f>
        <v>34839</v>
      </c>
    </row>
    <row r="25" spans="1:21" x14ac:dyDescent="0.3">
      <c r="A25" s="177"/>
      <c r="B25" s="129"/>
      <c r="C25" s="98" t="s">
        <v>80</v>
      </c>
      <c r="D25" s="65"/>
      <c r="E25" s="134">
        <v>79</v>
      </c>
      <c r="F25" s="185">
        <f>+'Attendance, Revenue'!C18+'Attendance, Revenue'!C19</f>
        <v>365</v>
      </c>
      <c r="G25" s="119">
        <f>F25*E25</f>
        <v>28835</v>
      </c>
      <c r="H25" s="94"/>
      <c r="I25" s="85"/>
      <c r="J25" s="65"/>
      <c r="K25" s="134">
        <v>79</v>
      </c>
      <c r="L25" s="185">
        <f>+'Attendance, Revenue'!E31+'Attendance, Revenue'!E32+'Attendance, Revenue'!E36</f>
        <v>434</v>
      </c>
      <c r="M25" s="443">
        <f>L25*K25</f>
        <v>34286</v>
      </c>
      <c r="N25" s="94"/>
      <c r="O25" s="85"/>
      <c r="P25" s="65"/>
      <c r="Q25" s="134">
        <v>79</v>
      </c>
      <c r="R25" s="185">
        <v>441</v>
      </c>
      <c r="S25" s="416">
        <f>R25*Q25</f>
        <v>34839</v>
      </c>
      <c r="T25" s="94"/>
    </row>
    <row r="26" spans="1:21" x14ac:dyDescent="0.3">
      <c r="A26" s="177"/>
      <c r="B26" s="175" t="s">
        <v>68</v>
      </c>
      <c r="C26" s="60"/>
      <c r="D26" s="65"/>
      <c r="E26" s="83"/>
      <c r="F26" s="83"/>
      <c r="G26" s="130"/>
      <c r="H26" s="95">
        <f>SUM(G27:G31)</f>
        <v>6370</v>
      </c>
      <c r="I26" s="85"/>
      <c r="J26" s="65"/>
      <c r="K26" s="309"/>
      <c r="L26" s="309"/>
      <c r="M26" s="437"/>
      <c r="N26" s="95">
        <f>SUM(M27:M31)</f>
        <v>6370</v>
      </c>
      <c r="O26" s="85"/>
      <c r="P26" s="65"/>
      <c r="Q26" s="252"/>
      <c r="R26" s="252"/>
      <c r="S26" s="411"/>
      <c r="T26" s="95">
        <f>SUM(S27:S31)</f>
        <v>9725</v>
      </c>
    </row>
    <row r="27" spans="1:21" x14ac:dyDescent="0.3">
      <c r="A27" s="177"/>
      <c r="B27" s="129"/>
      <c r="C27" s="71" t="s">
        <v>69</v>
      </c>
      <c r="D27" s="111">
        <f>E27*F27</f>
        <v>870</v>
      </c>
      <c r="E27" s="134">
        <v>870</v>
      </c>
      <c r="F27" s="186">
        <v>1</v>
      </c>
      <c r="G27" s="119">
        <f>+D27</f>
        <v>870</v>
      </c>
      <c r="H27" s="94"/>
      <c r="I27" s="85"/>
      <c r="J27" s="111">
        <f>+M27</f>
        <v>870</v>
      </c>
      <c r="K27" s="134">
        <v>870</v>
      </c>
      <c r="L27" s="186">
        <v>1</v>
      </c>
      <c r="M27" s="443">
        <f>+K27*L27</f>
        <v>870</v>
      </c>
      <c r="N27" s="94"/>
      <c r="O27" s="85"/>
      <c r="P27" s="111">
        <f>+S27</f>
        <v>870</v>
      </c>
      <c r="Q27" s="134">
        <v>870</v>
      </c>
      <c r="R27" s="186">
        <v>1</v>
      </c>
      <c r="S27" s="425">
        <f>+Q27*R27</f>
        <v>870</v>
      </c>
      <c r="T27" s="94"/>
    </row>
    <row r="28" spans="1:21" x14ac:dyDescent="0.3">
      <c r="A28" s="177"/>
      <c r="B28" s="129"/>
      <c r="C28" s="71" t="s">
        <v>70</v>
      </c>
      <c r="D28" s="111">
        <f t="shared" ref="D28:D30" si="0">E28*F28</f>
        <v>1450</v>
      </c>
      <c r="E28" s="134">
        <v>725</v>
      </c>
      <c r="F28" s="186">
        <v>2</v>
      </c>
      <c r="G28" s="119">
        <f>+D28</f>
        <v>1450</v>
      </c>
      <c r="H28" s="94"/>
      <c r="I28" s="85"/>
      <c r="J28" s="111">
        <f t="shared" ref="J28:J30" si="1">+M28</f>
        <v>1450</v>
      </c>
      <c r="K28" s="134">
        <v>725</v>
      </c>
      <c r="L28" s="186">
        <v>2</v>
      </c>
      <c r="M28" s="443">
        <f t="shared" ref="M28:M30" si="2">+K28*L28</f>
        <v>1450</v>
      </c>
      <c r="N28" s="94"/>
      <c r="O28" s="85"/>
      <c r="P28" s="111">
        <f t="shared" ref="P28:P30" si="3">+S28</f>
        <v>2175</v>
      </c>
      <c r="Q28" s="134">
        <v>725</v>
      </c>
      <c r="R28" s="186">
        <v>3</v>
      </c>
      <c r="S28" s="425">
        <f t="shared" ref="S28:S30" si="4">+Q28*R28</f>
        <v>2175</v>
      </c>
      <c r="T28" s="94"/>
    </row>
    <row r="29" spans="1:21" x14ac:dyDescent="0.3">
      <c r="A29" s="177"/>
      <c r="B29" s="175"/>
      <c r="C29" s="71" t="s">
        <v>32</v>
      </c>
      <c r="D29" s="111">
        <f t="shared" si="0"/>
        <v>620</v>
      </c>
      <c r="E29" s="134">
        <v>620</v>
      </c>
      <c r="F29" s="187">
        <v>1</v>
      </c>
      <c r="G29" s="119">
        <f>+D29</f>
        <v>620</v>
      </c>
      <c r="H29" s="94"/>
      <c r="I29" s="85"/>
      <c r="J29" s="111">
        <f t="shared" si="1"/>
        <v>620</v>
      </c>
      <c r="K29" s="134">
        <v>620</v>
      </c>
      <c r="L29" s="187">
        <v>1</v>
      </c>
      <c r="M29" s="443">
        <f t="shared" si="2"/>
        <v>620</v>
      </c>
      <c r="N29" s="94"/>
      <c r="O29" s="85"/>
      <c r="P29" s="111">
        <f t="shared" si="3"/>
        <v>620</v>
      </c>
      <c r="Q29" s="134">
        <v>620</v>
      </c>
      <c r="R29" s="187">
        <v>1</v>
      </c>
      <c r="S29" s="425">
        <f t="shared" si="4"/>
        <v>620</v>
      </c>
      <c r="T29" s="94"/>
    </row>
    <row r="30" spans="1:21" x14ac:dyDescent="0.3">
      <c r="A30" s="177"/>
      <c r="B30" s="129"/>
      <c r="C30" s="71" t="s">
        <v>33</v>
      </c>
      <c r="D30" s="111">
        <f t="shared" si="0"/>
        <v>1680</v>
      </c>
      <c r="E30" s="134">
        <v>560</v>
      </c>
      <c r="F30" s="187">
        <v>3</v>
      </c>
      <c r="G30" s="119">
        <f>+D30</f>
        <v>1680</v>
      </c>
      <c r="H30" s="94"/>
      <c r="I30" s="85"/>
      <c r="J30" s="111">
        <f t="shared" si="1"/>
        <v>1680</v>
      </c>
      <c r="K30" s="134">
        <v>560</v>
      </c>
      <c r="L30" s="187">
        <v>3</v>
      </c>
      <c r="M30" s="443">
        <f t="shared" si="2"/>
        <v>1680</v>
      </c>
      <c r="N30" s="94"/>
      <c r="O30" s="85"/>
      <c r="P30" s="111">
        <f t="shared" si="3"/>
        <v>3360</v>
      </c>
      <c r="Q30" s="134">
        <v>560</v>
      </c>
      <c r="R30" s="187">
        <v>6</v>
      </c>
      <c r="S30" s="425">
        <f t="shared" si="4"/>
        <v>3360</v>
      </c>
      <c r="T30" s="94"/>
    </row>
    <row r="31" spans="1:21" x14ac:dyDescent="0.3">
      <c r="A31" s="177"/>
      <c r="B31" s="129"/>
      <c r="C31" s="71" t="s">
        <v>122</v>
      </c>
      <c r="D31" s="75"/>
      <c r="E31" s="83"/>
      <c r="F31" s="188"/>
      <c r="G31" s="119">
        <f>(F27*275)+(F28*200)+(F29*325)+(F30*250)</f>
        <v>1750</v>
      </c>
      <c r="H31" s="94"/>
      <c r="I31" s="85"/>
      <c r="J31" s="75"/>
      <c r="K31" s="309"/>
      <c r="L31" s="188"/>
      <c r="M31" s="443">
        <f>(L27*275)+(L28*200)+(L29*325)+(L30*250)</f>
        <v>1750</v>
      </c>
      <c r="N31" s="94"/>
      <c r="O31" s="85"/>
      <c r="P31" s="75"/>
      <c r="Q31" s="252"/>
      <c r="R31" s="188"/>
      <c r="S31" s="425">
        <f>(R27*275)+(R28*200)+(R29*325)+(R30*250)</f>
        <v>2700</v>
      </c>
      <c r="T31" s="94"/>
    </row>
    <row r="32" spans="1:21" x14ac:dyDescent="0.3">
      <c r="A32" s="177"/>
      <c r="B32" s="129"/>
      <c r="C32" s="60"/>
      <c r="D32" s="65"/>
      <c r="E32" s="83"/>
      <c r="F32" s="83"/>
      <c r="G32" s="130"/>
      <c r="H32" s="94"/>
      <c r="I32" s="85"/>
      <c r="J32" s="65"/>
      <c r="K32" s="309"/>
      <c r="L32" s="309"/>
      <c r="M32" s="437"/>
      <c r="N32" s="94"/>
      <c r="O32" s="85"/>
      <c r="P32" s="65"/>
      <c r="Q32" s="252"/>
      <c r="R32" s="252"/>
      <c r="S32" s="411"/>
      <c r="T32" s="94"/>
    </row>
    <row r="33" spans="1:21" x14ac:dyDescent="0.3">
      <c r="A33" s="177"/>
      <c r="B33" s="175" t="s">
        <v>34</v>
      </c>
      <c r="C33" s="60"/>
      <c r="D33" s="65"/>
      <c r="E33" s="83"/>
      <c r="F33" s="83"/>
      <c r="G33" s="130"/>
      <c r="H33" s="95">
        <f>SUM(G34:G37)</f>
        <v>11080</v>
      </c>
      <c r="I33" s="85"/>
      <c r="J33" s="65"/>
      <c r="K33" s="309"/>
      <c r="L33" s="309"/>
      <c r="M33" s="437"/>
      <c r="N33" s="95">
        <f>SUM(M34:M37)</f>
        <v>12100</v>
      </c>
      <c r="O33" s="85"/>
      <c r="P33" s="65"/>
      <c r="Q33" s="252"/>
      <c r="R33" s="252"/>
      <c r="S33" s="411"/>
      <c r="T33" s="95">
        <f>SUM(S34:S37)</f>
        <v>12670</v>
      </c>
    </row>
    <row r="34" spans="1:21" x14ac:dyDescent="0.3">
      <c r="A34" s="177"/>
      <c r="B34" s="129"/>
      <c r="C34" s="71" t="s">
        <v>35</v>
      </c>
      <c r="D34" s="111">
        <v>200</v>
      </c>
      <c r="E34" s="134"/>
      <c r="F34" s="187"/>
      <c r="G34" s="119">
        <f>+D34</f>
        <v>200</v>
      </c>
      <c r="H34" s="94"/>
      <c r="I34" s="85"/>
      <c r="J34" s="111">
        <v>200</v>
      </c>
      <c r="K34" s="134"/>
      <c r="L34" s="187"/>
      <c r="M34" s="443">
        <f>+J34</f>
        <v>200</v>
      </c>
      <c r="N34" s="94"/>
      <c r="O34" s="85"/>
      <c r="P34" s="111">
        <v>250</v>
      </c>
      <c r="Q34" s="134"/>
      <c r="R34" s="187"/>
      <c r="S34" s="416">
        <f>+P34</f>
        <v>250</v>
      </c>
      <c r="T34" s="94"/>
    </row>
    <row r="35" spans="1:21" x14ac:dyDescent="0.3">
      <c r="A35" s="177"/>
      <c r="B35" s="129"/>
      <c r="C35" s="71" t="s">
        <v>36</v>
      </c>
      <c r="D35" s="65"/>
      <c r="E35" s="134">
        <v>120</v>
      </c>
      <c r="F35" s="185">
        <f>+'Attendance, Revenue'!E11</f>
        <v>65</v>
      </c>
      <c r="G35" s="119">
        <f>F35*E35</f>
        <v>7800</v>
      </c>
      <c r="H35" s="94"/>
      <c r="I35" s="85"/>
      <c r="J35" s="65"/>
      <c r="K35" s="134">
        <v>120</v>
      </c>
      <c r="L35" s="185">
        <f>+'Attendance, Revenue'!E33</f>
        <v>77</v>
      </c>
      <c r="M35" s="443">
        <f>L35*K35</f>
        <v>9240</v>
      </c>
      <c r="N35" s="94"/>
      <c r="O35" s="85"/>
      <c r="P35" s="65"/>
      <c r="Q35" s="134">
        <v>120</v>
      </c>
      <c r="R35" s="185">
        <v>79</v>
      </c>
      <c r="S35" s="416">
        <f>R35*Q35</f>
        <v>9480</v>
      </c>
      <c r="T35" s="94"/>
      <c r="U35" s="306"/>
    </row>
    <row r="36" spans="1:21" x14ac:dyDescent="0.3">
      <c r="A36" s="177"/>
      <c r="B36" s="129"/>
      <c r="C36" s="71" t="s">
        <v>37</v>
      </c>
      <c r="D36" s="65"/>
      <c r="E36" s="134">
        <v>140</v>
      </c>
      <c r="F36" s="185">
        <f>+'Attendance, Revenue'!E12</f>
        <v>22</v>
      </c>
      <c r="G36" s="119">
        <f>F36*E36</f>
        <v>3080</v>
      </c>
      <c r="H36" s="94"/>
      <c r="I36" s="85"/>
      <c r="J36" s="65"/>
      <c r="K36" s="134">
        <v>140</v>
      </c>
      <c r="L36" s="185">
        <f>+'Attendance, Revenue'!E34</f>
        <v>19</v>
      </c>
      <c r="M36" s="443">
        <f>L36*K36</f>
        <v>2660</v>
      </c>
      <c r="N36" s="94"/>
      <c r="O36" s="85"/>
      <c r="P36" s="65"/>
      <c r="Q36" s="134">
        <v>140</v>
      </c>
      <c r="R36" s="185">
        <v>21</v>
      </c>
      <c r="S36" s="416">
        <f>R36*Q36</f>
        <v>2940</v>
      </c>
      <c r="T36" s="94"/>
    </row>
    <row r="37" spans="1:21" x14ac:dyDescent="0.3">
      <c r="A37" s="177"/>
      <c r="B37" s="129"/>
      <c r="C37" s="71" t="s">
        <v>38</v>
      </c>
      <c r="D37" s="65"/>
      <c r="E37" s="134">
        <v>0</v>
      </c>
      <c r="F37" s="185">
        <f>+'Attendance, Revenue'!E13</f>
        <v>0</v>
      </c>
      <c r="G37" s="119">
        <f>F37*E37</f>
        <v>0</v>
      </c>
      <c r="H37" s="94"/>
      <c r="I37" s="85"/>
      <c r="J37" s="65"/>
      <c r="K37" s="134">
        <v>0</v>
      </c>
      <c r="L37" s="185">
        <f>+'Attendance, Revenue'!E35</f>
        <v>15</v>
      </c>
      <c r="M37" s="443">
        <f>L37*K37</f>
        <v>0</v>
      </c>
      <c r="N37" s="94"/>
      <c r="O37" s="85"/>
      <c r="P37" s="65"/>
      <c r="Q37" s="134">
        <v>0</v>
      </c>
      <c r="R37" s="185">
        <v>0</v>
      </c>
      <c r="S37" s="416">
        <f>R37*Q37</f>
        <v>0</v>
      </c>
      <c r="T37" s="94"/>
    </row>
    <row r="38" spans="1:21" x14ac:dyDescent="0.3">
      <c r="A38" s="177"/>
      <c r="B38" s="129"/>
      <c r="C38" s="155"/>
      <c r="D38" s="65"/>
      <c r="E38" s="83"/>
      <c r="F38" s="83"/>
      <c r="G38" s="130"/>
      <c r="H38" s="94"/>
      <c r="I38" s="85"/>
      <c r="J38" s="65"/>
      <c r="K38" s="309"/>
      <c r="L38" s="309"/>
      <c r="M38" s="437"/>
      <c r="N38" s="94"/>
      <c r="O38" s="85"/>
      <c r="P38" s="65"/>
      <c r="Q38" s="252"/>
      <c r="R38" s="252"/>
      <c r="S38" s="411"/>
      <c r="T38" s="94"/>
    </row>
    <row r="39" spans="1:21" x14ac:dyDescent="0.3">
      <c r="A39" s="177"/>
      <c r="B39" s="129"/>
      <c r="C39" s="155"/>
      <c r="D39" s="65"/>
      <c r="E39" s="83"/>
      <c r="F39" s="83"/>
      <c r="G39" s="130"/>
      <c r="H39" s="94"/>
      <c r="I39" s="85"/>
      <c r="J39" s="65"/>
      <c r="K39" s="309"/>
      <c r="L39" s="309"/>
      <c r="M39" s="437"/>
      <c r="N39" s="94"/>
      <c r="O39" s="85"/>
      <c r="P39" s="65"/>
      <c r="Q39" s="252"/>
      <c r="R39" s="252"/>
      <c r="S39" s="411"/>
      <c r="T39" s="94"/>
    </row>
    <row r="40" spans="1:21" x14ac:dyDescent="0.3">
      <c r="A40" s="184" t="s">
        <v>94</v>
      </c>
      <c r="B40" s="120"/>
      <c r="C40" s="121"/>
      <c r="D40" s="122"/>
      <c r="E40" s="123"/>
      <c r="F40" s="123"/>
      <c r="G40" s="124"/>
      <c r="H40" s="102">
        <f>SUM(H41:H53)</f>
        <v>8888</v>
      </c>
      <c r="I40" s="85"/>
      <c r="J40" s="122"/>
      <c r="K40" s="123"/>
      <c r="L40" s="123"/>
      <c r="M40" s="448"/>
      <c r="N40" s="102">
        <f>SUM(N41:N53)</f>
        <v>8488</v>
      </c>
      <c r="O40" s="85"/>
      <c r="P40" s="122"/>
      <c r="Q40" s="123"/>
      <c r="R40" s="123"/>
      <c r="S40" s="426"/>
      <c r="T40" s="102">
        <f>SUM(T41:T53)</f>
        <v>2604.89</v>
      </c>
    </row>
    <row r="41" spans="1:21" x14ac:dyDescent="0.3">
      <c r="A41" s="174"/>
      <c r="B41" s="137" t="s">
        <v>39</v>
      </c>
      <c r="C41" s="64"/>
      <c r="D41" s="61"/>
      <c r="E41" s="62"/>
      <c r="F41" s="62"/>
      <c r="G41" s="110"/>
      <c r="H41" s="93">
        <f>+G42+G43</f>
        <v>1400</v>
      </c>
      <c r="I41" s="85"/>
      <c r="J41" s="61"/>
      <c r="K41" s="62"/>
      <c r="L41" s="62"/>
      <c r="M41" s="439"/>
      <c r="N41" s="93">
        <f>+M42+M43</f>
        <v>1400</v>
      </c>
      <c r="O41" s="85"/>
      <c r="P41" s="61"/>
      <c r="Q41" s="62"/>
      <c r="R41" s="62"/>
      <c r="S41" s="412"/>
      <c r="T41" s="93">
        <f>SUM(S42:S43)</f>
        <v>1369.02</v>
      </c>
    </row>
    <row r="42" spans="1:21" x14ac:dyDescent="0.3">
      <c r="B42" s="129"/>
      <c r="C42" s="71" t="s">
        <v>150</v>
      </c>
      <c r="D42" s="111">
        <v>1000</v>
      </c>
      <c r="E42" s="189">
        <v>0</v>
      </c>
      <c r="F42" s="186">
        <v>1</v>
      </c>
      <c r="G42" s="119">
        <f>+D42</f>
        <v>1000</v>
      </c>
      <c r="H42" s="282"/>
      <c r="I42" s="85"/>
      <c r="J42" s="111">
        <v>1000</v>
      </c>
      <c r="K42" s="189">
        <v>0</v>
      </c>
      <c r="L42" s="186">
        <v>1</v>
      </c>
      <c r="M42" s="443">
        <f>+J42</f>
        <v>1000</v>
      </c>
      <c r="N42" s="282"/>
      <c r="O42" s="85"/>
      <c r="P42" s="111">
        <v>472.5</v>
      </c>
      <c r="Q42" s="189">
        <v>0</v>
      </c>
      <c r="R42" s="186">
        <v>1</v>
      </c>
      <c r="S42" s="427">
        <f>+P42</f>
        <v>472.5</v>
      </c>
      <c r="T42" s="94"/>
    </row>
    <row r="43" spans="1:21" x14ac:dyDescent="0.3">
      <c r="B43" s="129"/>
      <c r="C43" s="71" t="s">
        <v>123</v>
      </c>
      <c r="D43" s="111">
        <f t="shared" ref="D43" si="5">E43*F43</f>
        <v>400</v>
      </c>
      <c r="E43" s="189">
        <v>400</v>
      </c>
      <c r="F43" s="186">
        <v>1</v>
      </c>
      <c r="G43" s="119">
        <f>+D43</f>
        <v>400</v>
      </c>
      <c r="H43" s="94"/>
      <c r="I43" s="85"/>
      <c r="J43" s="111">
        <f t="shared" ref="J43" si="6">K43*L43</f>
        <v>400</v>
      </c>
      <c r="K43" s="189">
        <v>400</v>
      </c>
      <c r="L43" s="186">
        <v>1</v>
      </c>
      <c r="M43" s="443">
        <f>+J43</f>
        <v>400</v>
      </c>
      <c r="N43" s="94"/>
      <c r="O43" s="85"/>
      <c r="P43" s="111">
        <v>896.52</v>
      </c>
      <c r="Q43" s="189">
        <f>P43/2</f>
        <v>448.26</v>
      </c>
      <c r="R43" s="186">
        <v>2</v>
      </c>
      <c r="S43" s="416">
        <f>+P43</f>
        <v>896.52</v>
      </c>
      <c r="T43" s="94"/>
    </row>
    <row r="44" spans="1:21" x14ac:dyDescent="0.3">
      <c r="B44" s="129"/>
      <c r="C44" s="60"/>
      <c r="D44" s="65"/>
      <c r="E44" s="83"/>
      <c r="F44" s="83"/>
      <c r="G44" s="130"/>
      <c r="H44" s="94"/>
      <c r="I44" s="85"/>
      <c r="J44" s="65"/>
      <c r="K44" s="309"/>
      <c r="L44" s="309"/>
      <c r="M44" s="437"/>
      <c r="N44" s="94"/>
      <c r="O44" s="85"/>
      <c r="P44" s="65"/>
      <c r="Q44" s="252"/>
      <c r="R44" s="252"/>
      <c r="S44" s="411"/>
      <c r="T44" s="94"/>
    </row>
    <row r="45" spans="1:21" x14ac:dyDescent="0.3">
      <c r="B45" s="136" t="s">
        <v>92</v>
      </c>
      <c r="C45" s="76"/>
      <c r="D45" s="77"/>
      <c r="E45" s="191"/>
      <c r="F45" s="191"/>
      <c r="G45" s="192"/>
      <c r="H45" s="95">
        <f>SUM(G46:G51)</f>
        <v>5888</v>
      </c>
      <c r="I45" s="85"/>
      <c r="J45" s="77"/>
      <c r="K45" s="191"/>
      <c r="L45" s="191"/>
      <c r="M45" s="449"/>
      <c r="N45" s="95">
        <f>SUM(M46:M51)</f>
        <v>5888</v>
      </c>
      <c r="O45" s="85"/>
      <c r="P45" s="77"/>
      <c r="Q45" s="191"/>
      <c r="R45" s="191"/>
      <c r="S45" s="428"/>
      <c r="T45" s="95">
        <f>SUM(S46:S51)</f>
        <v>0</v>
      </c>
    </row>
    <row r="46" spans="1:21" x14ac:dyDescent="0.3">
      <c r="B46" s="283"/>
      <c r="C46" s="60" t="s">
        <v>95</v>
      </c>
      <c r="D46" s="111">
        <f>800+248</f>
        <v>1048</v>
      </c>
      <c r="E46" s="134"/>
      <c r="F46" s="187"/>
      <c r="G46" s="119">
        <f>+D46</f>
        <v>1048</v>
      </c>
      <c r="H46" s="95"/>
      <c r="I46" s="86"/>
      <c r="J46" s="111">
        <f>800+248</f>
        <v>1048</v>
      </c>
      <c r="K46" s="134"/>
      <c r="L46" s="187"/>
      <c r="M46" s="443">
        <f>+J46</f>
        <v>1048</v>
      </c>
      <c r="N46" s="95"/>
      <c r="O46" s="86"/>
      <c r="P46" s="111">
        <f>800+248</f>
        <v>1048</v>
      </c>
      <c r="Q46" s="134"/>
      <c r="R46" s="187"/>
      <c r="S46" s="416">
        <v>0</v>
      </c>
      <c r="T46" s="481" t="s">
        <v>345</v>
      </c>
    </row>
    <row r="47" spans="1:21" x14ac:dyDescent="0.3">
      <c r="B47" s="283"/>
      <c r="C47" s="60" t="s">
        <v>296</v>
      </c>
      <c r="D47" s="111">
        <v>50</v>
      </c>
      <c r="E47" s="134"/>
      <c r="F47" s="187"/>
      <c r="G47" s="119">
        <f>+D47</f>
        <v>50</v>
      </c>
      <c r="H47" s="95"/>
      <c r="I47" s="86"/>
      <c r="J47" s="111">
        <v>50</v>
      </c>
      <c r="K47" s="134"/>
      <c r="L47" s="187"/>
      <c r="M47" s="443">
        <f>+J47</f>
        <v>50</v>
      </c>
      <c r="N47" s="95"/>
      <c r="O47" s="86"/>
      <c r="P47" s="111">
        <v>0</v>
      </c>
      <c r="Q47" s="134"/>
      <c r="R47" s="187"/>
      <c r="S47" s="416">
        <f>+P47</f>
        <v>0</v>
      </c>
      <c r="T47" s="95"/>
    </row>
    <row r="48" spans="1:21" x14ac:dyDescent="0.3">
      <c r="B48" s="283"/>
      <c r="C48" s="60" t="s">
        <v>151</v>
      </c>
      <c r="D48" s="111">
        <v>4000</v>
      </c>
      <c r="E48" s="134"/>
      <c r="F48" s="187"/>
      <c r="G48" s="119">
        <f>+D48</f>
        <v>4000</v>
      </c>
      <c r="H48" s="94"/>
      <c r="I48" s="86"/>
      <c r="J48" s="111">
        <v>4000</v>
      </c>
      <c r="K48" s="134"/>
      <c r="L48" s="187"/>
      <c r="M48" s="443">
        <f>+J48</f>
        <v>4000</v>
      </c>
      <c r="N48" s="94"/>
      <c r="O48" s="86"/>
      <c r="P48" s="111">
        <v>4000</v>
      </c>
      <c r="Q48" s="134"/>
      <c r="R48" s="187"/>
      <c r="S48" s="416">
        <v>0</v>
      </c>
      <c r="T48" s="480" t="s">
        <v>344</v>
      </c>
    </row>
    <row r="49" spans="1:25" x14ac:dyDescent="0.3">
      <c r="B49" s="283"/>
      <c r="C49" s="103" t="s">
        <v>90</v>
      </c>
      <c r="D49" s="111">
        <v>90</v>
      </c>
      <c r="E49" s="134"/>
      <c r="F49" s="187"/>
      <c r="G49" s="119">
        <f>+D49</f>
        <v>90</v>
      </c>
      <c r="H49" s="94"/>
      <c r="I49" s="86"/>
      <c r="J49" s="111">
        <v>90</v>
      </c>
      <c r="K49" s="134"/>
      <c r="L49" s="187"/>
      <c r="M49" s="443">
        <f>+J49</f>
        <v>90</v>
      </c>
      <c r="N49" s="94"/>
      <c r="O49" s="86"/>
      <c r="P49" s="111">
        <v>0</v>
      </c>
      <c r="Q49" s="134"/>
      <c r="R49" s="187"/>
      <c r="S49" s="416">
        <f>+P49</f>
        <v>0</v>
      </c>
      <c r="T49" s="94"/>
    </row>
    <row r="50" spans="1:25" x14ac:dyDescent="0.3">
      <c r="B50" s="283"/>
      <c r="C50" s="103" t="s">
        <v>91</v>
      </c>
      <c r="D50" s="111">
        <v>200</v>
      </c>
      <c r="E50" s="134"/>
      <c r="F50" s="187"/>
      <c r="G50" s="119">
        <f t="shared" ref="G50:G51" si="7">+D50</f>
        <v>200</v>
      </c>
      <c r="H50" s="94"/>
      <c r="I50" s="86"/>
      <c r="J50" s="111">
        <v>200</v>
      </c>
      <c r="K50" s="134"/>
      <c r="L50" s="187"/>
      <c r="M50" s="443">
        <f t="shared" ref="M50:M51" si="8">+J50</f>
        <v>200</v>
      </c>
      <c r="N50" s="94"/>
      <c r="O50" s="86"/>
      <c r="P50" s="111">
        <v>0</v>
      </c>
      <c r="Q50" s="134"/>
      <c r="R50" s="187"/>
      <c r="S50" s="416">
        <v>0</v>
      </c>
      <c r="T50" s="94"/>
    </row>
    <row r="51" spans="1:25" x14ac:dyDescent="0.3">
      <c r="A51" s="177"/>
      <c r="B51" s="193"/>
      <c r="C51" s="103" t="s">
        <v>93</v>
      </c>
      <c r="D51" s="111">
        <v>500</v>
      </c>
      <c r="E51" s="134"/>
      <c r="F51" s="187"/>
      <c r="G51" s="119">
        <f t="shared" si="7"/>
        <v>500</v>
      </c>
      <c r="H51" s="94"/>
      <c r="I51" s="86"/>
      <c r="J51" s="111">
        <v>500</v>
      </c>
      <c r="K51" s="134"/>
      <c r="L51" s="187"/>
      <c r="M51" s="443">
        <f t="shared" si="8"/>
        <v>500</v>
      </c>
      <c r="N51" s="94"/>
      <c r="O51" s="86"/>
      <c r="P51" s="111">
        <v>0</v>
      </c>
      <c r="Q51" s="134"/>
      <c r="R51" s="187"/>
      <c r="S51" s="416">
        <f t="shared" ref="S51" si="9">+P51</f>
        <v>0</v>
      </c>
      <c r="T51" s="94"/>
    </row>
    <row r="52" spans="1:25" x14ac:dyDescent="0.3">
      <c r="A52" s="177"/>
      <c r="B52" s="26"/>
      <c r="C52" s="78"/>
      <c r="D52" s="79"/>
      <c r="E52" s="194"/>
      <c r="F52" s="83"/>
      <c r="G52" s="130"/>
      <c r="H52" s="94"/>
      <c r="I52" s="87"/>
      <c r="J52" s="79"/>
      <c r="K52" s="194"/>
      <c r="L52" s="309"/>
      <c r="M52" s="437"/>
      <c r="N52" s="94"/>
      <c r="O52" s="87"/>
      <c r="P52" s="79"/>
      <c r="Q52" s="194"/>
      <c r="R52" s="394"/>
      <c r="S52" s="420"/>
      <c r="T52" s="94"/>
    </row>
    <row r="53" spans="1:25" x14ac:dyDescent="0.3">
      <c r="A53" s="190"/>
      <c r="B53" s="283" t="s">
        <v>297</v>
      </c>
      <c r="C53" s="76"/>
      <c r="D53" s="77"/>
      <c r="E53" s="191"/>
      <c r="F53" s="191"/>
      <c r="G53" s="192"/>
      <c r="H53" s="95">
        <f>SUM(G54:G57)</f>
        <v>1600</v>
      </c>
      <c r="I53" s="85"/>
      <c r="J53" s="77"/>
      <c r="K53" s="191"/>
      <c r="L53" s="191"/>
      <c r="M53" s="449"/>
      <c r="N53" s="95">
        <f>SUM(M54:M57)</f>
        <v>1200</v>
      </c>
      <c r="O53" s="85"/>
      <c r="P53" s="77"/>
      <c r="Q53" s="191"/>
      <c r="R53" s="191"/>
      <c r="S53" s="479"/>
      <c r="T53" s="95">
        <f>SUM(S54:S57)</f>
        <v>1235.8699999999999</v>
      </c>
    </row>
    <row r="54" spans="1:25" x14ac:dyDescent="0.3">
      <c r="A54" s="190"/>
      <c r="B54" s="136"/>
      <c r="C54" s="71" t="s">
        <v>106</v>
      </c>
      <c r="D54" s="119">
        <v>200</v>
      </c>
      <c r="E54" s="302"/>
      <c r="F54" s="302"/>
      <c r="G54" s="119">
        <f>D54</f>
        <v>200</v>
      </c>
      <c r="H54" s="95"/>
      <c r="I54" s="86"/>
      <c r="J54" s="319">
        <v>0</v>
      </c>
      <c r="K54" s="309"/>
      <c r="L54" s="309"/>
      <c r="M54" s="443">
        <f>J54</f>
        <v>0</v>
      </c>
      <c r="N54" s="95"/>
      <c r="O54" s="86"/>
      <c r="P54" s="319">
        <v>0</v>
      </c>
      <c r="Q54" s="394"/>
      <c r="R54" s="394"/>
      <c r="S54" s="416">
        <f>P54</f>
        <v>0</v>
      </c>
      <c r="T54" s="95"/>
    </row>
    <row r="55" spans="1:25" x14ac:dyDescent="0.3">
      <c r="A55" s="190"/>
      <c r="B55" s="136"/>
      <c r="C55" s="71" t="s">
        <v>108</v>
      </c>
      <c r="D55" s="119">
        <v>200</v>
      </c>
      <c r="E55" s="302"/>
      <c r="F55" s="302"/>
      <c r="G55" s="119">
        <f t="shared" ref="G55:G56" si="10">D55</f>
        <v>200</v>
      </c>
      <c r="H55" s="95"/>
      <c r="I55" s="86"/>
      <c r="J55" s="319">
        <v>0</v>
      </c>
      <c r="K55" s="309"/>
      <c r="L55" s="309"/>
      <c r="M55" s="443">
        <f t="shared" ref="M55:M56" si="11">J55</f>
        <v>0</v>
      </c>
      <c r="N55" s="95"/>
      <c r="O55" s="86"/>
      <c r="P55" s="319">
        <v>0</v>
      </c>
      <c r="Q55" s="394"/>
      <c r="R55" s="394"/>
      <c r="S55" s="416">
        <f t="shared" ref="S55" si="12">P55</f>
        <v>0</v>
      </c>
      <c r="T55" s="95"/>
    </row>
    <row r="56" spans="1:25" x14ac:dyDescent="0.3">
      <c r="A56" s="190"/>
      <c r="B56" s="136"/>
      <c r="C56" s="71" t="s">
        <v>109</v>
      </c>
      <c r="D56" s="119">
        <v>200</v>
      </c>
      <c r="E56" s="302"/>
      <c r="F56" s="302"/>
      <c r="G56" s="119">
        <f t="shared" si="10"/>
        <v>200</v>
      </c>
      <c r="H56" s="95"/>
      <c r="I56" s="86"/>
      <c r="J56" s="319">
        <v>200</v>
      </c>
      <c r="K56" s="309"/>
      <c r="L56" s="309"/>
      <c r="M56" s="443">
        <f t="shared" si="11"/>
        <v>200</v>
      </c>
      <c r="N56" s="95"/>
      <c r="O56" s="86"/>
      <c r="P56" s="319">
        <v>200</v>
      </c>
      <c r="Q56" s="394"/>
      <c r="R56" s="394"/>
      <c r="S56" s="416">
        <v>0</v>
      </c>
      <c r="T56" s="478"/>
    </row>
    <row r="57" spans="1:25" ht="12" customHeight="1" x14ac:dyDescent="0.3">
      <c r="A57" s="190"/>
      <c r="B57" s="136"/>
      <c r="C57" s="60" t="s">
        <v>300</v>
      </c>
      <c r="D57" s="119">
        <v>1000</v>
      </c>
      <c r="E57" s="302"/>
      <c r="F57" s="302"/>
      <c r="G57" s="119">
        <f>+D57</f>
        <v>1000</v>
      </c>
      <c r="H57" s="95"/>
      <c r="I57" s="86"/>
      <c r="J57" s="319">
        <v>1000</v>
      </c>
      <c r="K57" s="309"/>
      <c r="L57" s="309"/>
      <c r="M57" s="443">
        <f>+J57</f>
        <v>1000</v>
      </c>
      <c r="N57" s="95"/>
      <c r="O57" s="86"/>
      <c r="P57" s="319">
        <f>70+1051.01+114.86</f>
        <v>1235.8699999999999</v>
      </c>
      <c r="Q57" s="394"/>
      <c r="R57" s="394"/>
      <c r="S57" s="425">
        <f>+P57</f>
        <v>1235.8699999999999</v>
      </c>
      <c r="T57" s="95"/>
    </row>
    <row r="58" spans="1:25" x14ac:dyDescent="0.3">
      <c r="A58" s="195"/>
      <c r="B58" s="29"/>
      <c r="C58" s="196"/>
      <c r="D58" s="197"/>
      <c r="E58" s="198"/>
      <c r="F58" s="236"/>
      <c r="G58" s="200"/>
      <c r="H58" s="201"/>
      <c r="I58" s="87"/>
      <c r="J58" s="197"/>
      <c r="K58" s="198"/>
      <c r="L58" s="236"/>
      <c r="M58" s="450"/>
      <c r="N58" s="201"/>
      <c r="O58" s="87"/>
      <c r="P58" s="197"/>
      <c r="Q58" s="198"/>
      <c r="R58" s="199"/>
      <c r="S58" s="418"/>
      <c r="T58" s="201"/>
      <c r="U58" s="274"/>
    </row>
    <row r="59" spans="1:25" x14ac:dyDescent="0.3">
      <c r="A59" s="156" t="s">
        <v>23</v>
      </c>
      <c r="B59" s="157"/>
      <c r="C59" s="158"/>
      <c r="D59" s="159"/>
      <c r="E59" s="160"/>
      <c r="F59" s="161"/>
      <c r="G59" s="161"/>
      <c r="H59" s="162">
        <f>SUM(H60:H120)</f>
        <v>86671.242499999993</v>
      </c>
      <c r="I59" s="85"/>
      <c r="J59" s="159"/>
      <c r="K59" s="160"/>
      <c r="L59" s="161"/>
      <c r="M59" s="451"/>
      <c r="N59" s="162">
        <f>SUM(N60:N120)</f>
        <v>107686.74249999999</v>
      </c>
      <c r="O59" s="85"/>
      <c r="P59" s="159"/>
      <c r="Q59" s="160"/>
      <c r="R59" s="161"/>
      <c r="S59" s="430"/>
      <c r="T59" s="163">
        <f>SUM(T60:T120)</f>
        <v>111908.63249999999</v>
      </c>
      <c r="U59" s="270"/>
      <c r="V59" s="22"/>
      <c r="W59" s="297" t="s">
        <v>126</v>
      </c>
      <c r="X59" s="23"/>
      <c r="Y59" s="24">
        <f>SUM('Attendance, Revenue'!Q20:Q23)</f>
        <v>859</v>
      </c>
    </row>
    <row r="60" spans="1:25" s="2" customFormat="1" x14ac:dyDescent="0.3">
      <c r="A60" s="203" t="s">
        <v>148</v>
      </c>
      <c r="B60" s="112"/>
      <c r="C60" s="104"/>
      <c r="D60" s="105"/>
      <c r="E60" s="307"/>
      <c r="F60" s="308"/>
      <c r="G60" s="208"/>
      <c r="H60" s="106">
        <f>SUM(G61:G66)</f>
        <v>9866</v>
      </c>
      <c r="I60" s="107"/>
      <c r="J60" s="105"/>
      <c r="K60" s="307"/>
      <c r="L60" s="308"/>
      <c r="M60" s="452"/>
      <c r="N60" s="106">
        <f>SUM(M61:M66)</f>
        <v>14164.75</v>
      </c>
      <c r="O60" s="107"/>
      <c r="P60" s="105"/>
      <c r="Q60" s="307"/>
      <c r="R60" s="308"/>
      <c r="S60" s="431"/>
      <c r="T60" s="106">
        <f>SUM(S61:S66)</f>
        <v>17560.769999999997</v>
      </c>
      <c r="U60" s="270"/>
      <c r="V60" s="298" t="s">
        <v>80</v>
      </c>
      <c r="W60" s="299" t="s">
        <v>99</v>
      </c>
      <c r="X60" s="299" t="s">
        <v>7</v>
      </c>
      <c r="Y60" s="27"/>
    </row>
    <row r="61" spans="1:25" s="2" customFormat="1" ht="21.6" x14ac:dyDescent="0.3">
      <c r="A61" s="203"/>
      <c r="B61" s="230" t="s">
        <v>46</v>
      </c>
      <c r="C61" s="71" t="s">
        <v>105</v>
      </c>
      <c r="D61" s="105"/>
      <c r="E61" s="134">
        <v>0</v>
      </c>
      <c r="F61" s="185">
        <f>ROUND((+'Attendance, Revenue'!$E$13+'Attendance, Revenue'!$E$14)*'Expense Detail'!B62,0)</f>
        <v>0</v>
      </c>
      <c r="G61" s="119">
        <f>+E61*F61</f>
        <v>0</v>
      </c>
      <c r="H61" s="106"/>
      <c r="I61" s="230" t="s">
        <v>46</v>
      </c>
      <c r="J61" s="105"/>
      <c r="K61" s="134">
        <v>0</v>
      </c>
      <c r="L61" s="185">
        <f>ROUND((+'Attendance, Revenue'!$E$13+'Attendance, Revenue'!$E$14)*'Expense Detail'!H62,0)</f>
        <v>0</v>
      </c>
      <c r="M61" s="443">
        <f>+K61*L61</f>
        <v>0</v>
      </c>
      <c r="N61" s="106"/>
      <c r="O61" s="107"/>
      <c r="P61" s="105"/>
      <c r="Q61" s="134">
        <v>0</v>
      </c>
      <c r="R61" s="185">
        <f>ROUND((+'Attendance, Revenue'!$E$13+'Attendance, Revenue'!$E$14)*'Expense Detail'!N62,0)</f>
        <v>0</v>
      </c>
      <c r="S61" s="427">
        <f>+Q61*R61</f>
        <v>0</v>
      </c>
      <c r="T61" s="106"/>
      <c r="V61" s="25">
        <v>330</v>
      </c>
      <c r="W61" s="26">
        <v>60</v>
      </c>
      <c r="X61" s="26">
        <f t="shared" ref="X61:X68" si="13">+V61+W61</f>
        <v>390</v>
      </c>
      <c r="Y61" s="300">
        <f t="shared" ref="Y61:Y66" si="14">+X61/Y$59</f>
        <v>0.45401629802095461</v>
      </c>
    </row>
    <row r="62" spans="1:25" s="2" customFormat="1" x14ac:dyDescent="0.3">
      <c r="A62" s="177"/>
      <c r="B62" s="204">
        <f>+'Expense Detail'!Y61</f>
        <v>0.45401629802095461</v>
      </c>
      <c r="C62" s="71" t="s">
        <v>9</v>
      </c>
      <c r="D62" s="105"/>
      <c r="E62" s="134">
        <v>34.39</v>
      </c>
      <c r="F62" s="185">
        <f>ROUND(('Attendance, Revenue'!E$12)*'Expense Detail'!B62,0)</f>
        <v>10</v>
      </c>
      <c r="G62" s="119">
        <f>+E62*F62</f>
        <v>343.9</v>
      </c>
      <c r="H62" s="106"/>
      <c r="I62" s="204">
        <f>+'Registration Grid'!D17</f>
        <v>0.67921146953405021</v>
      </c>
      <c r="J62" s="105"/>
      <c r="K62" s="134">
        <v>0</v>
      </c>
      <c r="L62" s="185">
        <v>0</v>
      </c>
      <c r="M62" s="443">
        <f>+K62*L62</f>
        <v>0</v>
      </c>
      <c r="N62" s="106"/>
      <c r="O62" s="107"/>
      <c r="P62" s="105"/>
      <c r="Q62" s="134">
        <v>0</v>
      </c>
      <c r="R62" s="185">
        <v>0</v>
      </c>
      <c r="S62" s="427">
        <f>+Q62*R62</f>
        <v>0</v>
      </c>
      <c r="T62" s="106"/>
      <c r="V62" s="25">
        <v>330</v>
      </c>
      <c r="W62" s="26">
        <v>80</v>
      </c>
      <c r="X62" s="26">
        <f t="shared" si="13"/>
        <v>410</v>
      </c>
      <c r="Y62" s="300">
        <f t="shared" si="14"/>
        <v>0.47729918509895225</v>
      </c>
    </row>
    <row r="63" spans="1:25" ht="15" customHeight="1" x14ac:dyDescent="0.3">
      <c r="A63" s="177"/>
      <c r="B63" s="230" t="s">
        <v>124</v>
      </c>
      <c r="C63" s="71" t="s">
        <v>2</v>
      </c>
      <c r="D63" s="65"/>
      <c r="E63" s="134">
        <v>34.39</v>
      </c>
      <c r="F63" s="185">
        <f>ROUND(('Attendance, Revenue'!E$9+'Attendance, Revenue'!E$10+'Attendance, Revenue'!E$11)*B62,0)-5</f>
        <v>190</v>
      </c>
      <c r="G63" s="119">
        <f>+E63*F63</f>
        <v>6534.1</v>
      </c>
      <c r="H63" s="94"/>
      <c r="I63" s="230" t="s">
        <v>266</v>
      </c>
      <c r="J63" s="65"/>
      <c r="K63" s="134">
        <v>34.39</v>
      </c>
      <c r="L63" s="185">
        <f>325-L62</f>
        <v>325</v>
      </c>
      <c r="M63" s="443">
        <f>+K63*L63</f>
        <v>11176.75</v>
      </c>
      <c r="N63" s="94"/>
      <c r="O63" s="85"/>
      <c r="P63" s="65"/>
      <c r="Q63" s="134">
        <f>(10996.05+394)/325</f>
        <v>35.046307692307693</v>
      </c>
      <c r="R63" s="185">
        <f>325-R62</f>
        <v>325</v>
      </c>
      <c r="S63" s="427">
        <f>+Q63*R63</f>
        <v>11390.05</v>
      </c>
      <c r="T63" s="94"/>
      <c r="U63" s="274"/>
      <c r="V63" s="25">
        <v>470</v>
      </c>
      <c r="W63" s="26">
        <v>55</v>
      </c>
      <c r="X63" s="26">
        <f t="shared" si="13"/>
        <v>525</v>
      </c>
      <c r="Y63" s="300">
        <f t="shared" si="14"/>
        <v>0.61117578579743892</v>
      </c>
    </row>
    <row r="64" spans="1:25" x14ac:dyDescent="0.3">
      <c r="A64" s="177"/>
      <c r="C64" s="71" t="s">
        <v>146</v>
      </c>
      <c r="D64" s="295">
        <v>1907</v>
      </c>
      <c r="E64" s="187" t="s">
        <v>24</v>
      </c>
      <c r="F64" s="237"/>
      <c r="G64" s="206">
        <f>+D64</f>
        <v>1907</v>
      </c>
      <c r="H64" s="94"/>
      <c r="I64" s="85"/>
      <c r="J64" s="295">
        <v>1907</v>
      </c>
      <c r="K64" s="187" t="s">
        <v>24</v>
      </c>
      <c r="L64" s="237"/>
      <c r="M64" s="453">
        <f>+J64</f>
        <v>1907</v>
      </c>
      <c r="N64" s="94"/>
      <c r="O64" s="85"/>
      <c r="P64" s="295">
        <v>3094.87</v>
      </c>
      <c r="Q64" s="187" t="s">
        <v>24</v>
      </c>
      <c r="R64" s="237"/>
      <c r="S64" s="471">
        <f>+P64</f>
        <v>3094.87</v>
      </c>
      <c r="T64" s="94"/>
      <c r="V64" s="25">
        <v>600</v>
      </c>
      <c r="W64" s="26">
        <v>70</v>
      </c>
      <c r="X64" s="26">
        <f t="shared" si="13"/>
        <v>670</v>
      </c>
      <c r="Y64" s="300">
        <f t="shared" si="14"/>
        <v>0.77997671711292205</v>
      </c>
    </row>
    <row r="65" spans="1:25" x14ac:dyDescent="0.3">
      <c r="A65" s="177"/>
      <c r="C65" s="71" t="s">
        <v>140</v>
      </c>
      <c r="D65" s="119">
        <f>66</f>
        <v>66</v>
      </c>
      <c r="E65" s="134"/>
      <c r="F65" s="205"/>
      <c r="G65" s="119">
        <f>+D65</f>
        <v>66</v>
      </c>
      <c r="H65" s="94"/>
      <c r="I65" s="85"/>
      <c r="J65" s="119">
        <f>66</f>
        <v>66</v>
      </c>
      <c r="K65" s="134"/>
      <c r="L65" s="205"/>
      <c r="M65" s="443">
        <f>+J65</f>
        <v>66</v>
      </c>
      <c r="N65" s="94"/>
      <c r="O65" s="85"/>
      <c r="P65" s="119">
        <v>1489.1</v>
      </c>
      <c r="Q65" s="134"/>
      <c r="R65" s="205"/>
      <c r="S65" s="427">
        <f>+P65</f>
        <v>1489.1</v>
      </c>
      <c r="T65" s="94"/>
      <c r="U65" s="296"/>
      <c r="V65" s="25">
        <v>525</v>
      </c>
      <c r="W65" s="26">
        <v>130</v>
      </c>
      <c r="X65" s="26">
        <f t="shared" si="13"/>
        <v>655</v>
      </c>
      <c r="Y65" s="300">
        <f t="shared" si="14"/>
        <v>0.76251455180442373</v>
      </c>
    </row>
    <row r="66" spans="1:25" x14ac:dyDescent="0.3">
      <c r="A66" s="177"/>
      <c r="B66" s="129"/>
      <c r="C66" s="60" t="s">
        <v>327</v>
      </c>
      <c r="D66" s="65"/>
      <c r="E66" s="134">
        <v>5.0750000000000002</v>
      </c>
      <c r="F66" s="185">
        <v>200</v>
      </c>
      <c r="G66" s="119">
        <f>+E66*F66</f>
        <v>1015</v>
      </c>
      <c r="H66" s="94"/>
      <c r="I66" s="85"/>
      <c r="J66" s="65"/>
      <c r="K66" s="134">
        <v>5.0750000000000002</v>
      </c>
      <c r="L66" s="185">
        <v>200</v>
      </c>
      <c r="M66" s="443">
        <f>+K66*L66</f>
        <v>1015</v>
      </c>
      <c r="N66" s="94"/>
      <c r="O66" s="85"/>
      <c r="P66" s="65"/>
      <c r="Q66" s="134">
        <v>5.77</v>
      </c>
      <c r="R66" s="185">
        <v>275</v>
      </c>
      <c r="S66" s="416">
        <f>+Q66*R66</f>
        <v>1586.7499999999998</v>
      </c>
      <c r="T66" s="94"/>
      <c r="V66" s="25">
        <v>640</v>
      </c>
      <c r="W66" s="26">
        <v>120</v>
      </c>
      <c r="X66" s="26">
        <f t="shared" si="13"/>
        <v>760</v>
      </c>
      <c r="Y66" s="300">
        <f t="shared" si="14"/>
        <v>0.88474970896391147</v>
      </c>
    </row>
    <row r="67" spans="1:25" s="2" customFormat="1" x14ac:dyDescent="0.3">
      <c r="A67" s="203" t="s">
        <v>131</v>
      </c>
      <c r="B67" s="207"/>
      <c r="C67" s="104"/>
      <c r="D67" s="105"/>
      <c r="E67" s="113"/>
      <c r="F67" s="113"/>
      <c r="G67" s="208"/>
      <c r="H67" s="106">
        <f>SUM(G68:G72)</f>
        <v>2001.95</v>
      </c>
      <c r="I67" s="107"/>
      <c r="J67" s="105"/>
      <c r="K67" s="113"/>
      <c r="L67" s="113"/>
      <c r="M67" s="452"/>
      <c r="N67" s="106">
        <f>SUM(M68:M72)</f>
        <v>2296.0500000000002</v>
      </c>
      <c r="O67" s="107"/>
      <c r="P67" s="105"/>
      <c r="Q67" s="113"/>
      <c r="R67" s="113"/>
      <c r="S67" s="431"/>
      <c r="T67" s="106">
        <f>SUM(S68:S72)</f>
        <v>1606.3</v>
      </c>
      <c r="U67" s="269"/>
      <c r="V67" s="25">
        <v>560</v>
      </c>
      <c r="W67" s="26">
        <v>0</v>
      </c>
      <c r="X67" s="26">
        <f t="shared" si="13"/>
        <v>560</v>
      </c>
      <c r="Y67" s="300">
        <f>+X67/608</f>
        <v>0.92105263157894735</v>
      </c>
    </row>
    <row r="68" spans="1:25" s="2" customFormat="1" ht="21.6" x14ac:dyDescent="0.3">
      <c r="A68" s="203"/>
      <c r="B68" s="230" t="s">
        <v>46</v>
      </c>
      <c r="C68" s="71" t="s">
        <v>48</v>
      </c>
      <c r="D68" s="105"/>
      <c r="E68" s="134">
        <v>0</v>
      </c>
      <c r="F68" s="185">
        <f>ROUND((+'Attendance, Revenue'!$E$13+'Attendance, Revenue'!$E$14)*'Expense Detail'!B69,0)</f>
        <v>0</v>
      </c>
      <c r="G68" s="119">
        <f>+E68*F68</f>
        <v>0</v>
      </c>
      <c r="H68" s="106"/>
      <c r="I68" s="230"/>
      <c r="J68" s="105"/>
      <c r="K68" s="134">
        <v>0</v>
      </c>
      <c r="L68" s="185">
        <f>ROUND((+'Attendance, Revenue'!$E$13+'Attendance, Revenue'!$E$14)*'Expense Detail'!H69,0)</f>
        <v>0</v>
      </c>
      <c r="M68" s="443">
        <f>+K68*L68</f>
        <v>0</v>
      </c>
      <c r="N68" s="106"/>
      <c r="O68" s="107"/>
      <c r="P68" s="105"/>
      <c r="Q68" s="134">
        <v>0</v>
      </c>
      <c r="R68" s="185">
        <f>ROUND((+'Attendance, Revenue'!$E$13+'Attendance, Revenue'!$E$14)*'Expense Detail'!N69,0)</f>
        <v>0</v>
      </c>
      <c r="S68" s="427">
        <f>+Q68*R68</f>
        <v>0</v>
      </c>
      <c r="T68" s="106"/>
      <c r="V68" s="28">
        <v>500</v>
      </c>
      <c r="W68" s="29">
        <v>120</v>
      </c>
      <c r="X68" s="29">
        <f t="shared" si="13"/>
        <v>620</v>
      </c>
      <c r="Y68" s="301">
        <f>+X68/Y$59</f>
        <v>0.72176949941792778</v>
      </c>
    </row>
    <row r="69" spans="1:25" s="2" customFormat="1" x14ac:dyDescent="0.3">
      <c r="A69" s="177"/>
      <c r="B69" s="204">
        <f>+'Expense Detail'!Y62</f>
        <v>0.47729918509895225</v>
      </c>
      <c r="C69" s="71" t="s">
        <v>9</v>
      </c>
      <c r="D69" s="105"/>
      <c r="E69" s="134">
        <v>4.95</v>
      </c>
      <c r="F69" s="185">
        <f>ROUND(('Attendance, Revenue'!E$12)*'Expense Detail'!B69,0)</f>
        <v>11</v>
      </c>
      <c r="G69" s="119">
        <f>+E69*F69</f>
        <v>54.45</v>
      </c>
      <c r="H69" s="106"/>
      <c r="I69" s="204"/>
      <c r="J69" s="105"/>
      <c r="K69" s="134">
        <v>4.95</v>
      </c>
      <c r="L69" s="185">
        <f>ROUND(('Attendance, Revenue'!E$34)*'Expense Detail'!B69,0)</f>
        <v>9</v>
      </c>
      <c r="M69" s="443">
        <f>+K69*L69</f>
        <v>44.550000000000004</v>
      </c>
      <c r="N69" s="106"/>
      <c r="O69" s="107"/>
      <c r="P69" s="105"/>
      <c r="Q69" s="134">
        <v>4.95</v>
      </c>
      <c r="R69" s="185">
        <v>4</v>
      </c>
      <c r="S69" s="427">
        <f>+Q69*R69</f>
        <v>19.8</v>
      </c>
      <c r="T69" s="106"/>
    </row>
    <row r="70" spans="1:25" ht="13.5" customHeight="1" x14ac:dyDescent="0.3">
      <c r="A70" s="177"/>
      <c r="B70" s="230" t="s">
        <v>124</v>
      </c>
      <c r="C70" s="71" t="s">
        <v>2</v>
      </c>
      <c r="D70" s="65"/>
      <c r="E70" s="134">
        <v>9.5</v>
      </c>
      <c r="F70" s="185">
        <f>ROUND(('Attendance, Revenue'!E$9+'Attendance, Revenue'!E$10+'Attendance, Revenue'!E$11)*B69,0)</f>
        <v>205</v>
      </c>
      <c r="G70" s="119">
        <f>E70*F70</f>
        <v>1947.5</v>
      </c>
      <c r="H70" s="94"/>
      <c r="I70" s="230"/>
      <c r="J70" s="65"/>
      <c r="K70" s="134">
        <v>9.5</v>
      </c>
      <c r="L70" s="185">
        <f>ROUND(('Attendance, Revenue'!E$31+'Attendance, Revenue'!E$32+'Attendance, Revenue'!E$33)*B69,0)-5</f>
        <v>237</v>
      </c>
      <c r="M70" s="443">
        <f>K70*L70</f>
        <v>2251.5</v>
      </c>
      <c r="N70" s="94"/>
      <c r="O70" s="85"/>
      <c r="P70" s="65"/>
      <c r="Q70" s="134">
        <v>9.5</v>
      </c>
      <c r="R70" s="185">
        <v>167</v>
      </c>
      <c r="S70" s="427">
        <f>Q70*R70</f>
        <v>1586.5</v>
      </c>
      <c r="T70" s="94"/>
    </row>
    <row r="71" spans="1:25" x14ac:dyDescent="0.3">
      <c r="A71" s="177"/>
      <c r="C71" s="71" t="s">
        <v>143</v>
      </c>
      <c r="D71" s="291" t="s">
        <v>139</v>
      </c>
      <c r="E71" s="187" t="s">
        <v>24</v>
      </c>
      <c r="F71" s="237"/>
      <c r="G71" s="206">
        <v>0</v>
      </c>
      <c r="H71" s="94"/>
      <c r="I71" s="85"/>
      <c r="J71" s="291" t="s">
        <v>139</v>
      </c>
      <c r="K71" s="187" t="s">
        <v>24</v>
      </c>
      <c r="L71" s="237"/>
      <c r="M71" s="453">
        <v>0</v>
      </c>
      <c r="N71" s="94"/>
      <c r="O71" s="85"/>
      <c r="P71" s="291" t="s">
        <v>139</v>
      </c>
      <c r="Q71" s="187" t="s">
        <v>24</v>
      </c>
      <c r="R71" s="237"/>
      <c r="S71" s="471">
        <v>0</v>
      </c>
      <c r="T71" s="94"/>
      <c r="U71" t="s">
        <v>329</v>
      </c>
      <c r="V71" s="273">
        <f>+T74+T81+T111-S87+S121</f>
        <v>37710.25</v>
      </c>
      <c r="W71" s="273">
        <f>+V71-V72</f>
        <v>0</v>
      </c>
    </row>
    <row r="72" spans="1:25" x14ac:dyDescent="0.3">
      <c r="A72" s="177"/>
      <c r="C72" s="98" t="s">
        <v>3</v>
      </c>
      <c r="D72" s="119">
        <v>0</v>
      </c>
      <c r="E72" s="134"/>
      <c r="F72" s="205"/>
      <c r="G72" s="119">
        <f>+D72</f>
        <v>0</v>
      </c>
      <c r="H72" s="94"/>
      <c r="I72" s="85"/>
      <c r="J72" s="119">
        <v>0</v>
      </c>
      <c r="K72" s="134"/>
      <c r="L72" s="205"/>
      <c r="M72" s="443">
        <f>+J72</f>
        <v>0</v>
      </c>
      <c r="N72" s="94"/>
      <c r="O72" s="85"/>
      <c r="P72" s="119">
        <v>0</v>
      </c>
      <c r="Q72" s="134"/>
      <c r="R72" s="205"/>
      <c r="S72" s="427">
        <f>+P72</f>
        <v>0</v>
      </c>
      <c r="T72" s="94"/>
      <c r="V72" s="273">
        <f>5000+5000+27710.25</f>
        <v>37710.25</v>
      </c>
    </row>
    <row r="73" spans="1:25" x14ac:dyDescent="0.3">
      <c r="A73" s="177"/>
      <c r="B73" s="129"/>
      <c r="C73" s="60"/>
      <c r="D73" s="65"/>
      <c r="E73" s="83"/>
      <c r="F73" s="83"/>
      <c r="G73" s="130"/>
      <c r="H73" s="94"/>
      <c r="I73" s="85"/>
      <c r="J73" s="65"/>
      <c r="K73" s="309"/>
      <c r="L73" s="309"/>
      <c r="M73" s="437"/>
      <c r="N73" s="94"/>
      <c r="O73" s="85"/>
      <c r="P73" s="65"/>
      <c r="Q73" s="226"/>
      <c r="R73" s="226"/>
      <c r="S73" s="432"/>
      <c r="T73" s="94"/>
      <c r="U73" t="s">
        <v>330</v>
      </c>
      <c r="V73" s="273">
        <f>+S66</f>
        <v>1586.7499999999998</v>
      </c>
      <c r="W73" s="273">
        <f>+V73-V74</f>
        <v>-0.75000000000022737</v>
      </c>
    </row>
    <row r="74" spans="1:25" s="2" customFormat="1" x14ac:dyDescent="0.3">
      <c r="A74" s="203" t="s">
        <v>323</v>
      </c>
      <c r="B74" s="207"/>
      <c r="C74" s="104"/>
      <c r="D74" s="105"/>
      <c r="E74" s="113"/>
      <c r="F74" s="113"/>
      <c r="G74" s="208"/>
      <c r="H74" s="106">
        <f>SUM(G75:G79)</f>
        <v>4400</v>
      </c>
      <c r="I74" s="107"/>
      <c r="J74" s="105"/>
      <c r="K74" s="113"/>
      <c r="L74" s="113"/>
      <c r="M74" s="452"/>
      <c r="N74" s="106">
        <f>SUM(M75:M79)</f>
        <v>6325</v>
      </c>
      <c r="O74" s="107"/>
      <c r="P74" s="105"/>
      <c r="Q74" s="113"/>
      <c r="R74" s="113"/>
      <c r="S74" s="433"/>
      <c r="T74" s="106">
        <f>SUM(S75:S79)</f>
        <v>6825</v>
      </c>
      <c r="U74" s="269"/>
      <c r="V74" s="273">
        <f>1015+572.5</f>
        <v>1587.5</v>
      </c>
    </row>
    <row r="75" spans="1:25" s="2" customFormat="1" ht="21.6" x14ac:dyDescent="0.3">
      <c r="A75" s="203"/>
      <c r="B75" s="230" t="s">
        <v>46</v>
      </c>
      <c r="C75" s="71" t="s">
        <v>48</v>
      </c>
      <c r="D75" s="105"/>
      <c r="E75" s="134">
        <v>0</v>
      </c>
      <c r="F75" s="185">
        <f>ROUND((+'Attendance, Revenue'!$E$13+'Attendance, Revenue'!$E$14)*'Expense Detail'!B76,0)</f>
        <v>0</v>
      </c>
      <c r="G75" s="119">
        <f>+E75*F75</f>
        <v>0</v>
      </c>
      <c r="H75" s="106"/>
      <c r="I75" s="230" t="s">
        <v>46</v>
      </c>
      <c r="J75" s="105"/>
      <c r="K75" s="134">
        <v>0</v>
      </c>
      <c r="L75" s="185">
        <f>ROUND((+'Attendance, Revenue'!$E$13+'Attendance, Revenue'!$E$14)*'Expense Detail'!H76,0)</f>
        <v>0</v>
      </c>
      <c r="M75" s="443">
        <f>+K75*L75</f>
        <v>0</v>
      </c>
      <c r="N75" s="106"/>
      <c r="O75" s="107"/>
      <c r="P75" s="105"/>
      <c r="Q75" s="134">
        <v>0</v>
      </c>
      <c r="R75" s="185">
        <f>ROUND((+'Attendance, Revenue'!$E$13+'Attendance, Revenue'!$E$14)*'Expense Detail'!N76,0)</f>
        <v>0</v>
      </c>
      <c r="S75" s="427">
        <f>+Q75*R75</f>
        <v>0</v>
      </c>
      <c r="T75" s="106"/>
      <c r="U75" s="396" t="s">
        <v>331</v>
      </c>
      <c r="V75" s="273">
        <f>S63+S64+S65+S109</f>
        <v>20814.769999999997</v>
      </c>
      <c r="W75" s="273">
        <f>+V75-V76</f>
        <v>9.9999999983992893E-3</v>
      </c>
    </row>
    <row r="76" spans="1:25" s="2" customFormat="1" x14ac:dyDescent="0.3">
      <c r="A76" s="177"/>
      <c r="B76" s="204">
        <f>+'Expense Detail'!Y63</f>
        <v>0.61117578579743892</v>
      </c>
      <c r="C76" s="71" t="s">
        <v>9</v>
      </c>
      <c r="D76" s="105"/>
      <c r="E76" s="134">
        <v>10</v>
      </c>
      <c r="F76" s="185">
        <f>ROUND(('Attendance, Revenue'!E$12)*'Expense Detail'!B76,0)</f>
        <v>13</v>
      </c>
      <c r="G76" s="119">
        <f>+E76*F76</f>
        <v>130</v>
      </c>
      <c r="H76" s="106"/>
      <c r="I76" s="204">
        <f>+'Registration Grid'!D20</f>
        <v>0.78494623655913975</v>
      </c>
      <c r="J76" s="105"/>
      <c r="K76" s="134">
        <v>10</v>
      </c>
      <c r="L76" s="185">
        <v>0</v>
      </c>
      <c r="M76" s="443">
        <f>+K76*L76</f>
        <v>0</v>
      </c>
      <c r="N76" s="106"/>
      <c r="O76" s="107"/>
      <c r="P76" s="105"/>
      <c r="Q76" s="134">
        <v>10</v>
      </c>
      <c r="R76" s="185">
        <v>0</v>
      </c>
      <c r="S76" s="427">
        <f>+Q76*R76</f>
        <v>0</v>
      </c>
      <c r="T76" s="106"/>
      <c r="U76" s="269"/>
      <c r="V76" s="273">
        <f>4000+2092.75+3856.25+6234.66+2748+1489.1+394</f>
        <v>20814.759999999998</v>
      </c>
    </row>
    <row r="77" spans="1:25" ht="14.25" customHeight="1" x14ac:dyDescent="0.3">
      <c r="A77" s="177"/>
      <c r="B77" s="230" t="s">
        <v>124</v>
      </c>
      <c r="C77" s="71" t="s">
        <v>2</v>
      </c>
      <c r="D77" s="65"/>
      <c r="E77" s="134">
        <v>15</v>
      </c>
      <c r="F77" s="185">
        <f>ROUND(('Attendance, Revenue'!E$9+'Attendance, Revenue'!E$10+'Attendance, Revenue'!E$11)*B76,0)</f>
        <v>263</v>
      </c>
      <c r="G77" s="119">
        <f>E77*F77</f>
        <v>3945</v>
      </c>
      <c r="H77" s="94"/>
      <c r="I77" s="230" t="s">
        <v>266</v>
      </c>
      <c r="J77" s="65"/>
      <c r="K77" s="134">
        <v>15</v>
      </c>
      <c r="L77" s="185">
        <f>400-L76</f>
        <v>400</v>
      </c>
      <c r="M77" s="443">
        <f>K77*L77</f>
        <v>6000</v>
      </c>
      <c r="N77" s="94"/>
      <c r="O77" s="85"/>
      <c r="P77" s="65"/>
      <c r="Q77" s="134">
        <v>15</v>
      </c>
      <c r="R77" s="185">
        <v>455</v>
      </c>
      <c r="S77" s="427">
        <f>Q77*R77</f>
        <v>6825</v>
      </c>
      <c r="T77" s="94"/>
      <c r="U77" t="s">
        <v>332</v>
      </c>
      <c r="V77" s="273">
        <f>+T103-S109-S110</f>
        <v>30817.679999999997</v>
      </c>
      <c r="W77" s="273">
        <f>+V77-V78</f>
        <v>0</v>
      </c>
    </row>
    <row r="78" spans="1:25" x14ac:dyDescent="0.3">
      <c r="A78" s="177"/>
      <c r="C78" s="71" t="s">
        <v>143</v>
      </c>
      <c r="D78" s="291" t="s">
        <v>139</v>
      </c>
      <c r="E78" s="187" t="s">
        <v>24</v>
      </c>
      <c r="F78" s="237"/>
      <c r="G78" s="206">
        <v>0</v>
      </c>
      <c r="H78" s="94"/>
      <c r="I78" s="85"/>
      <c r="J78" s="291" t="s">
        <v>139</v>
      </c>
      <c r="K78" s="187" t="s">
        <v>24</v>
      </c>
      <c r="L78" s="237"/>
      <c r="M78" s="453">
        <v>0</v>
      </c>
      <c r="N78" s="94"/>
      <c r="O78" s="85"/>
      <c r="P78" s="291" t="s">
        <v>139</v>
      </c>
      <c r="Q78" s="187" t="s">
        <v>24</v>
      </c>
      <c r="R78" s="237"/>
      <c r="S78" s="471">
        <v>0</v>
      </c>
      <c r="T78" s="94"/>
      <c r="V78" s="273">
        <f>2000+9418.3+19399.38</f>
        <v>30817.68</v>
      </c>
    </row>
    <row r="79" spans="1:25" x14ac:dyDescent="0.3">
      <c r="A79" s="177"/>
      <c r="C79" s="98" t="s">
        <v>3</v>
      </c>
      <c r="D79" s="119">
        <v>325</v>
      </c>
      <c r="E79" s="134"/>
      <c r="F79" s="205"/>
      <c r="G79" s="119">
        <f>+D79</f>
        <v>325</v>
      </c>
      <c r="H79" s="94"/>
      <c r="I79" s="85"/>
      <c r="J79" s="119">
        <v>325</v>
      </c>
      <c r="K79" s="134"/>
      <c r="L79" s="205"/>
      <c r="M79" s="443">
        <f>+J79</f>
        <v>325</v>
      </c>
      <c r="N79" s="94"/>
      <c r="O79" s="85"/>
      <c r="P79" s="291" t="s">
        <v>139</v>
      </c>
      <c r="Q79" s="134"/>
      <c r="R79" s="205"/>
      <c r="S79" s="427">
        <v>0</v>
      </c>
      <c r="T79" s="94"/>
      <c r="U79" t="s">
        <v>333</v>
      </c>
      <c r="V79" s="273">
        <f>+S110</f>
        <v>2467.06</v>
      </c>
      <c r="W79" s="273">
        <f>+V79-V80</f>
        <v>0</v>
      </c>
    </row>
    <row r="80" spans="1:25" x14ac:dyDescent="0.3">
      <c r="A80" s="177"/>
      <c r="B80" s="129"/>
      <c r="C80" s="71"/>
      <c r="D80" s="65"/>
      <c r="E80" s="83"/>
      <c r="F80" s="83"/>
      <c r="G80" s="130"/>
      <c r="H80" s="94"/>
      <c r="I80" s="85"/>
      <c r="J80" s="65"/>
      <c r="K80" s="309"/>
      <c r="L80" s="309"/>
      <c r="M80" s="437"/>
      <c r="N80" s="94"/>
      <c r="O80" s="85"/>
      <c r="P80" s="65"/>
      <c r="Q80" s="394"/>
      <c r="R80" s="394"/>
      <c r="S80" s="429"/>
      <c r="T80" s="94"/>
      <c r="V80" s="273">
        <f>500+250+1717.06</f>
        <v>2467.06</v>
      </c>
    </row>
    <row r="81" spans="1:23" s="2" customFormat="1" x14ac:dyDescent="0.3">
      <c r="A81" s="203" t="s">
        <v>324</v>
      </c>
      <c r="B81" s="207"/>
      <c r="C81" s="104"/>
      <c r="D81" s="105"/>
      <c r="E81" s="113"/>
      <c r="F81" s="233"/>
      <c r="G81" s="208"/>
      <c r="H81" s="106">
        <f>SUM(G82:G87)</f>
        <v>15947.44</v>
      </c>
      <c r="I81" s="107"/>
      <c r="J81" s="105"/>
      <c r="K81" s="113"/>
      <c r="L81" s="233"/>
      <c r="M81" s="452"/>
      <c r="N81" s="106">
        <f>SUM(M82:M87)</f>
        <v>20867.439999999999</v>
      </c>
      <c r="O81" s="107"/>
      <c r="P81" s="105"/>
      <c r="Q81" s="113"/>
      <c r="R81" s="233"/>
      <c r="S81" s="433"/>
      <c r="T81" s="106">
        <f>SUM(S82:S87)</f>
        <v>23395</v>
      </c>
      <c r="U81" s="396" t="s">
        <v>133</v>
      </c>
      <c r="V81" s="273">
        <f>+S87</f>
        <v>1635</v>
      </c>
      <c r="W81" s="273">
        <f>+V81-V82</f>
        <v>0</v>
      </c>
    </row>
    <row r="82" spans="1:23" s="2" customFormat="1" ht="21.6" x14ac:dyDescent="0.3">
      <c r="A82" s="203"/>
      <c r="B82" s="230" t="s">
        <v>1</v>
      </c>
      <c r="C82" s="71" t="s">
        <v>48</v>
      </c>
      <c r="D82" s="105"/>
      <c r="E82" s="134">
        <v>0</v>
      </c>
      <c r="F82" s="185">
        <f>ROUND((+'Attendance, Revenue'!$E$13+'Attendance, Revenue'!$E$14)*B83,0)</f>
        <v>0</v>
      </c>
      <c r="G82" s="119">
        <f>+E82*F82</f>
        <v>0</v>
      </c>
      <c r="H82" s="106"/>
      <c r="I82" s="107"/>
      <c r="J82" s="105"/>
      <c r="K82" s="134">
        <v>0</v>
      </c>
      <c r="L82" s="185">
        <f>ROUND((+'Attendance, Revenue'!$E$13+'Attendance, Revenue'!$E$14)*H83,0)</f>
        <v>0</v>
      </c>
      <c r="M82" s="443">
        <f>+K82*L82</f>
        <v>0</v>
      </c>
      <c r="N82" s="106"/>
      <c r="O82" s="107"/>
      <c r="P82" s="105"/>
      <c r="Q82" s="134">
        <v>0</v>
      </c>
      <c r="R82" s="185">
        <f>ROUND((+'Attendance, Revenue'!$E$13+'Attendance, Revenue'!$E$14)*N83,0)</f>
        <v>0</v>
      </c>
      <c r="S82" s="427">
        <f>+Q82*R82</f>
        <v>0</v>
      </c>
      <c r="T82" s="106"/>
      <c r="U82" s="396"/>
      <c r="V82" s="273">
        <v>1635</v>
      </c>
    </row>
    <row r="83" spans="1:23" s="2" customFormat="1" x14ac:dyDescent="0.3">
      <c r="A83" s="177"/>
      <c r="B83" s="232">
        <f>+'Expense Detail'!Y64</f>
        <v>0.77997671711292205</v>
      </c>
      <c r="C83" s="71" t="s">
        <v>9</v>
      </c>
      <c r="D83" s="105"/>
      <c r="E83" s="134">
        <v>40</v>
      </c>
      <c r="F83" s="185">
        <f>ROUND(('Attendance, Revenue'!E$12)*B83,0)</f>
        <v>17</v>
      </c>
      <c r="G83" s="119">
        <f>+E83*F83</f>
        <v>680</v>
      </c>
      <c r="H83" s="106"/>
      <c r="I83" s="107"/>
      <c r="J83" s="105"/>
      <c r="K83" s="134">
        <v>40</v>
      </c>
      <c r="L83" s="185">
        <v>0</v>
      </c>
      <c r="M83" s="443">
        <f>+K83*L83</f>
        <v>0</v>
      </c>
      <c r="N83" s="106"/>
      <c r="O83" s="107"/>
      <c r="P83" s="105"/>
      <c r="Q83" s="134">
        <v>40</v>
      </c>
      <c r="R83" s="185">
        <v>0</v>
      </c>
      <c r="S83" s="427">
        <f>+Q83*R83</f>
        <v>0</v>
      </c>
      <c r="T83" s="106"/>
      <c r="U83" s="396" t="s">
        <v>125</v>
      </c>
      <c r="V83" s="273">
        <f>+S127+S128</f>
        <v>3349</v>
      </c>
      <c r="W83" s="273">
        <f>+V83-V84</f>
        <v>0</v>
      </c>
    </row>
    <row r="84" spans="1:23" ht="25.5" customHeight="1" x14ac:dyDescent="0.3">
      <c r="A84" s="177"/>
      <c r="B84" s="209" t="s">
        <v>31</v>
      </c>
      <c r="C84" s="71" t="s">
        <v>2</v>
      </c>
      <c r="D84" s="65"/>
      <c r="E84" s="134">
        <v>40</v>
      </c>
      <c r="F84" s="185">
        <f>ROUND((('Attendance, Revenue'!E$9+'Attendance, Revenue'!E$10)*B85)+('Attendance, Revenue'!E11*'Expense Detail'!B83),0)</f>
        <v>335</v>
      </c>
      <c r="G84" s="119">
        <f>E84*F84</f>
        <v>13400</v>
      </c>
      <c r="H84" s="94"/>
      <c r="I84" s="230" t="s">
        <v>46</v>
      </c>
      <c r="J84" s="65"/>
      <c r="K84" s="134">
        <v>40</v>
      </c>
      <c r="L84" s="185">
        <f>475-L83</f>
        <v>475</v>
      </c>
      <c r="M84" s="443">
        <f>K84*L84</f>
        <v>19000</v>
      </c>
      <c r="N84" s="94"/>
      <c r="O84" s="85"/>
      <c r="P84" s="65"/>
      <c r="Q84" s="134">
        <v>40</v>
      </c>
      <c r="R84" s="185">
        <v>544</v>
      </c>
      <c r="S84" s="427">
        <f>Q84*R84</f>
        <v>21760</v>
      </c>
      <c r="T84" s="94"/>
      <c r="U84" s="396"/>
      <c r="V84" s="273">
        <f>2873+476</f>
        <v>3349</v>
      </c>
    </row>
    <row r="85" spans="1:23" x14ac:dyDescent="0.3">
      <c r="A85" s="177"/>
      <c r="B85" s="232">
        <f>+'Expense Detail'!Y64</f>
        <v>0.77997671711292205</v>
      </c>
      <c r="C85" s="71" t="s">
        <v>143</v>
      </c>
      <c r="D85" s="291" t="s">
        <v>139</v>
      </c>
      <c r="E85" s="187" t="s">
        <v>24</v>
      </c>
      <c r="F85" s="237"/>
      <c r="G85" s="206">
        <f>+G86*0.1633*0</f>
        <v>0</v>
      </c>
      <c r="H85" s="94"/>
      <c r="I85" s="204">
        <f>+'Registration Grid'!D21</f>
        <v>0.91577060931899645</v>
      </c>
      <c r="J85" s="291" t="s">
        <v>139</v>
      </c>
      <c r="K85" s="187" t="s">
        <v>24</v>
      </c>
      <c r="L85" s="237"/>
      <c r="M85" s="453">
        <f>+M86*0.1633*0</f>
        <v>0</v>
      </c>
      <c r="N85" s="94"/>
      <c r="O85" s="85"/>
      <c r="P85" s="291" t="s">
        <v>139</v>
      </c>
      <c r="Q85" s="187" t="s">
        <v>24</v>
      </c>
      <c r="R85" s="237"/>
      <c r="S85" s="471">
        <f>+S86*0.1633*0</f>
        <v>0</v>
      </c>
      <c r="T85" s="94"/>
      <c r="U85" s="396" t="s">
        <v>334</v>
      </c>
      <c r="V85" s="273">
        <f>+S125</f>
        <v>525</v>
      </c>
      <c r="W85" s="273">
        <f>+V85-V86</f>
        <v>0</v>
      </c>
    </row>
    <row r="86" spans="1:23" x14ac:dyDescent="0.3">
      <c r="A86" s="177"/>
      <c r="B86" s="230" t="s">
        <v>124</v>
      </c>
      <c r="C86" s="71" t="s">
        <v>141</v>
      </c>
      <c r="D86" s="119">
        <f>517.44+350</f>
        <v>867.44</v>
      </c>
      <c r="E86" s="134"/>
      <c r="F86" s="205"/>
      <c r="G86" s="119">
        <f>+D86</f>
        <v>867.44</v>
      </c>
      <c r="H86" s="94"/>
      <c r="I86" s="230" t="s">
        <v>266</v>
      </c>
      <c r="J86" s="119">
        <f>517.44+350</f>
        <v>867.44</v>
      </c>
      <c r="K86" s="134"/>
      <c r="L86" s="205"/>
      <c r="M86" s="443">
        <f>+J86</f>
        <v>867.44</v>
      </c>
      <c r="N86" s="94"/>
      <c r="O86" s="85"/>
      <c r="P86" s="291" t="s">
        <v>139</v>
      </c>
      <c r="Q86" s="134"/>
      <c r="R86" s="205"/>
      <c r="S86" s="427">
        <v>0</v>
      </c>
      <c r="T86" s="94"/>
      <c r="U86" s="396"/>
      <c r="V86" s="273">
        <f>262.5+262.5</f>
        <v>525</v>
      </c>
    </row>
    <row r="87" spans="1:23" x14ac:dyDescent="0.3">
      <c r="A87" s="177"/>
      <c r="B87" s="210"/>
      <c r="C87" s="71" t="s">
        <v>133</v>
      </c>
      <c r="D87" s="72"/>
      <c r="E87" s="134">
        <v>5</v>
      </c>
      <c r="F87" s="185">
        <v>200</v>
      </c>
      <c r="G87" s="119">
        <f>E87*F87</f>
        <v>1000</v>
      </c>
      <c r="H87" s="94"/>
      <c r="I87" s="85"/>
      <c r="J87" s="72"/>
      <c r="K87" s="134">
        <v>5</v>
      </c>
      <c r="L87" s="185">
        <v>200</v>
      </c>
      <c r="M87" s="443">
        <f>K87*L87</f>
        <v>1000</v>
      </c>
      <c r="N87" s="94"/>
      <c r="O87" s="85"/>
      <c r="P87" s="72"/>
      <c r="Q87" s="134">
        <f>1635/R87</f>
        <v>5.45</v>
      </c>
      <c r="R87" s="185">
        <v>300</v>
      </c>
      <c r="S87" s="416">
        <f>Q87*R87</f>
        <v>1635</v>
      </c>
      <c r="T87" s="94"/>
      <c r="U87" s="396" t="s">
        <v>335</v>
      </c>
      <c r="V87" s="273">
        <f>+S120</f>
        <v>2436</v>
      </c>
      <c r="W87" s="273">
        <f>+V87-V88</f>
        <v>0</v>
      </c>
    </row>
    <row r="88" spans="1:23" s="2" customFormat="1" x14ac:dyDescent="0.3">
      <c r="A88" s="203" t="s">
        <v>132</v>
      </c>
      <c r="B88" s="207"/>
      <c r="C88" s="104"/>
      <c r="D88" s="105"/>
      <c r="E88" s="113"/>
      <c r="F88" s="113"/>
      <c r="G88" s="208"/>
      <c r="H88" s="106">
        <f>SUM(G89:G93)</f>
        <v>3200.15</v>
      </c>
      <c r="I88" s="107"/>
      <c r="J88" s="105"/>
      <c r="K88" s="113"/>
      <c r="L88" s="113"/>
      <c r="M88" s="452"/>
      <c r="N88" s="106">
        <f>SUM(M89:M93)</f>
        <v>3688.8</v>
      </c>
      <c r="O88" s="107"/>
      <c r="P88" s="105"/>
      <c r="Q88" s="113"/>
      <c r="R88" s="113"/>
      <c r="S88" s="433"/>
      <c r="T88" s="106">
        <f>SUM(S89:S93)</f>
        <v>2732.25</v>
      </c>
      <c r="U88" s="396"/>
      <c r="V88" s="273">
        <f>1000+1436</f>
        <v>2436</v>
      </c>
    </row>
    <row r="89" spans="1:23" s="2" customFormat="1" ht="21.6" x14ac:dyDescent="0.3">
      <c r="A89" s="203"/>
      <c r="B89" s="230" t="s">
        <v>46</v>
      </c>
      <c r="C89" s="71" t="s">
        <v>48</v>
      </c>
      <c r="D89" s="105"/>
      <c r="E89" s="134">
        <v>0</v>
      </c>
      <c r="F89" s="185">
        <f>ROUND((+'Attendance, Revenue'!$E$13+'Attendance, Revenue'!$E$14)*'Expense Detail'!B90,0)</f>
        <v>0</v>
      </c>
      <c r="G89" s="119">
        <f>+E89*F89</f>
        <v>0</v>
      </c>
      <c r="H89" s="106"/>
      <c r="I89" s="230"/>
      <c r="J89" s="105"/>
      <c r="K89" s="134">
        <v>0</v>
      </c>
      <c r="L89" s="185">
        <f>ROUND((+'Attendance, Revenue'!$E$13+'Attendance, Revenue'!$E$14)*'Expense Detail'!H90,0)</f>
        <v>0</v>
      </c>
      <c r="M89" s="443">
        <f>+K89*L89</f>
        <v>0</v>
      </c>
      <c r="N89" s="106"/>
      <c r="O89" s="107"/>
      <c r="P89" s="105"/>
      <c r="Q89" s="134">
        <v>0</v>
      </c>
      <c r="R89" s="185">
        <f>ROUND((+'Attendance, Revenue'!$E$13+'Attendance, Revenue'!$E$14)*'Expense Detail'!N90,0)</f>
        <v>0</v>
      </c>
      <c r="S89" s="427">
        <f>+Q89*R89</f>
        <v>0</v>
      </c>
      <c r="T89" s="106"/>
      <c r="U89" t="s">
        <v>336</v>
      </c>
      <c r="V89" s="273">
        <f>+'Attendance, Revenue'!K62</f>
        <v>540</v>
      </c>
      <c r="W89" s="273">
        <f>+V89-V90</f>
        <v>0</v>
      </c>
    </row>
    <row r="90" spans="1:23" s="2" customFormat="1" x14ac:dyDescent="0.3">
      <c r="A90" s="177"/>
      <c r="B90" s="204">
        <f>+'Expense Detail'!Y65</f>
        <v>0.76251455180442373</v>
      </c>
      <c r="C90" s="71" t="s">
        <v>9</v>
      </c>
      <c r="D90" s="105"/>
      <c r="E90" s="134">
        <v>4.95</v>
      </c>
      <c r="F90" s="185">
        <f>ROUND(('Attendance, Revenue'!E$12)*'Expense Detail'!B90,0)</f>
        <v>17</v>
      </c>
      <c r="G90" s="119">
        <f>+E90*F90</f>
        <v>84.15</v>
      </c>
      <c r="H90" s="106"/>
      <c r="I90" s="204"/>
      <c r="J90" s="105"/>
      <c r="K90" s="134">
        <v>4.95</v>
      </c>
      <c r="L90" s="185">
        <f>ROUND(('Attendance, Revenue'!E$34)*'Expense Detail'!B90,0)</f>
        <v>14</v>
      </c>
      <c r="M90" s="443">
        <f>+K90*L90</f>
        <v>69.3</v>
      </c>
      <c r="N90" s="106"/>
      <c r="O90" s="107"/>
      <c r="P90" s="105"/>
      <c r="Q90" s="134">
        <v>4.95</v>
      </c>
      <c r="R90" s="185">
        <v>5</v>
      </c>
      <c r="S90" s="427">
        <f>+Q90*R90</f>
        <v>24.75</v>
      </c>
      <c r="T90" s="106"/>
      <c r="U90"/>
      <c r="V90" s="273">
        <v>540</v>
      </c>
    </row>
    <row r="91" spans="1:23" ht="13.5" customHeight="1" x14ac:dyDescent="0.3">
      <c r="A91" s="177"/>
      <c r="B91" s="230" t="s">
        <v>124</v>
      </c>
      <c r="C91" s="71" t="s">
        <v>2</v>
      </c>
      <c r="D91" s="65"/>
      <c r="E91" s="134">
        <v>9.5</v>
      </c>
      <c r="F91" s="185">
        <f>ROUND(('Attendance, Revenue'!E$9+'Attendance, Revenue'!E$10+'Attendance, Revenue'!E$11)*B90,0)</f>
        <v>328</v>
      </c>
      <c r="G91" s="119">
        <f>E91*F91</f>
        <v>3116</v>
      </c>
      <c r="H91" s="94"/>
      <c r="I91" s="230"/>
      <c r="J91" s="65"/>
      <c r="K91" s="134">
        <v>9.5</v>
      </c>
      <c r="L91" s="185">
        <f>ROUND(('Attendance, Revenue'!E$31+'Attendance, Revenue'!E$32+'Attendance, Revenue'!E$33)*B90,0)-5</f>
        <v>381</v>
      </c>
      <c r="M91" s="443">
        <f>K91*L91</f>
        <v>3619.5</v>
      </c>
      <c r="N91" s="94"/>
      <c r="O91" s="85"/>
      <c r="P91" s="65"/>
      <c r="Q91" s="134">
        <v>9.5</v>
      </c>
      <c r="R91" s="185">
        <v>285</v>
      </c>
      <c r="S91" s="427">
        <f>Q91*R91</f>
        <v>2707.5</v>
      </c>
      <c r="T91" s="94"/>
      <c r="U91" s="396" t="s">
        <v>337</v>
      </c>
      <c r="V91" s="273">
        <f>+'Attendance, Revenue'!K63</f>
        <v>425</v>
      </c>
      <c r="W91" s="273">
        <f>+V91-V92</f>
        <v>-55</v>
      </c>
    </row>
    <row r="92" spans="1:23" x14ac:dyDescent="0.3">
      <c r="A92" s="177"/>
      <c r="B92" s="204"/>
      <c r="C92" s="71" t="s">
        <v>143</v>
      </c>
      <c r="D92" s="291" t="s">
        <v>139</v>
      </c>
      <c r="E92" s="187" t="s">
        <v>24</v>
      </c>
      <c r="F92" s="237"/>
      <c r="G92" s="206">
        <v>0</v>
      </c>
      <c r="H92" s="94"/>
      <c r="I92" s="85"/>
      <c r="J92" s="291" t="s">
        <v>139</v>
      </c>
      <c r="K92" s="187" t="s">
        <v>24</v>
      </c>
      <c r="L92" s="237"/>
      <c r="M92" s="453">
        <v>0</v>
      </c>
      <c r="N92" s="94"/>
      <c r="O92" s="85"/>
      <c r="P92" s="291" t="s">
        <v>139</v>
      </c>
      <c r="Q92" s="187" t="s">
        <v>24</v>
      </c>
      <c r="R92" s="237"/>
      <c r="S92" s="471">
        <v>0</v>
      </c>
      <c r="T92" s="94"/>
      <c r="U92" s="396"/>
      <c r="V92" s="273">
        <v>480</v>
      </c>
    </row>
    <row r="93" spans="1:23" x14ac:dyDescent="0.3">
      <c r="A93" s="177"/>
      <c r="B93" s="129"/>
      <c r="C93" s="98" t="s">
        <v>3</v>
      </c>
      <c r="D93" s="119">
        <v>0</v>
      </c>
      <c r="E93" s="134"/>
      <c r="F93" s="205"/>
      <c r="G93" s="119">
        <f>+D93</f>
        <v>0</v>
      </c>
      <c r="H93" s="94"/>
      <c r="I93" s="85"/>
      <c r="J93" s="119">
        <v>0</v>
      </c>
      <c r="K93" s="134"/>
      <c r="L93" s="205"/>
      <c r="M93" s="443">
        <f>+J93</f>
        <v>0</v>
      </c>
      <c r="N93" s="94"/>
      <c r="O93" s="85"/>
      <c r="P93" s="119">
        <v>0</v>
      </c>
      <c r="Q93" s="134"/>
      <c r="R93" s="205"/>
      <c r="S93" s="427">
        <f>+P93</f>
        <v>0</v>
      </c>
      <c r="T93" s="94"/>
      <c r="U93" s="396" t="s">
        <v>102</v>
      </c>
      <c r="V93" s="273">
        <f>+'Attendance, Revenue'!K64</f>
        <v>2925</v>
      </c>
      <c r="W93" s="273">
        <f>+V93-V94</f>
        <v>325</v>
      </c>
    </row>
    <row r="94" spans="1:23" x14ac:dyDescent="0.3">
      <c r="A94" s="177"/>
      <c r="B94" s="129"/>
      <c r="C94" s="60"/>
      <c r="D94" s="65"/>
      <c r="E94" s="83"/>
      <c r="F94" s="83"/>
      <c r="G94" s="130"/>
      <c r="H94" s="94"/>
      <c r="I94" s="85"/>
      <c r="J94" s="65"/>
      <c r="K94" s="309"/>
      <c r="L94" s="309"/>
      <c r="M94" s="437"/>
      <c r="N94" s="94"/>
      <c r="O94" s="85"/>
      <c r="P94" s="65"/>
      <c r="Q94" s="394"/>
      <c r="R94" s="394"/>
      <c r="S94" s="429"/>
      <c r="T94" s="94"/>
      <c r="U94" s="396"/>
      <c r="V94" s="273">
        <v>2600</v>
      </c>
    </row>
    <row r="95" spans="1:23" x14ac:dyDescent="0.3">
      <c r="A95" s="203" t="s">
        <v>299</v>
      </c>
      <c r="B95" s="175"/>
      <c r="C95" s="60"/>
      <c r="D95" s="65"/>
      <c r="E95" s="83"/>
      <c r="F95" s="83"/>
      <c r="G95" s="130"/>
      <c r="H95" s="106">
        <f>SUM(G96:G101)</f>
        <v>7392.5725000000002</v>
      </c>
      <c r="I95" s="85"/>
      <c r="J95" s="65"/>
      <c r="K95" s="309"/>
      <c r="L95" s="309"/>
      <c r="M95" s="437"/>
      <c r="N95" s="106">
        <f>SUM(M96:M101)</f>
        <v>8866.7724999999991</v>
      </c>
      <c r="O95" s="85"/>
      <c r="P95" s="65"/>
      <c r="Q95" s="226"/>
      <c r="R95" s="226"/>
      <c r="S95" s="432"/>
      <c r="T95" s="106">
        <f>SUM(S96:S101)</f>
        <v>8826.7724999999991</v>
      </c>
      <c r="U95" s="396" t="s">
        <v>268</v>
      </c>
      <c r="V95" s="273">
        <f>+S21</f>
        <v>4303.05</v>
      </c>
      <c r="W95" s="273">
        <f>+V95-V96</f>
        <v>0</v>
      </c>
    </row>
    <row r="96" spans="1:23" x14ac:dyDescent="0.3">
      <c r="A96" s="177"/>
      <c r="B96" s="204"/>
      <c r="C96" s="98" t="s">
        <v>89</v>
      </c>
      <c r="D96" s="119">
        <v>0</v>
      </c>
      <c r="E96" s="134"/>
      <c r="F96" s="205"/>
      <c r="G96" s="119">
        <f>+D96</f>
        <v>0</v>
      </c>
      <c r="H96" s="94"/>
      <c r="I96" s="85"/>
      <c r="J96" s="119">
        <v>0</v>
      </c>
      <c r="K96" s="134"/>
      <c r="L96" s="205"/>
      <c r="M96" s="443">
        <f>+J96</f>
        <v>0</v>
      </c>
      <c r="N96" s="94"/>
      <c r="O96" s="85"/>
      <c r="P96" s="119">
        <v>0</v>
      </c>
      <c r="Q96" s="134"/>
      <c r="R96" s="205"/>
      <c r="S96" s="427">
        <f>+P96</f>
        <v>0</v>
      </c>
      <c r="T96" s="94"/>
      <c r="U96" s="396"/>
      <c r="V96" s="273">
        <v>4303.05</v>
      </c>
    </row>
    <row r="97" spans="1:25" s="2" customFormat="1" ht="21.6" x14ac:dyDescent="0.3">
      <c r="A97" s="203"/>
      <c r="B97" s="230" t="s">
        <v>46</v>
      </c>
      <c r="C97" s="71" t="s">
        <v>48</v>
      </c>
      <c r="D97" s="105"/>
      <c r="E97" s="134">
        <v>0</v>
      </c>
      <c r="F97" s="185">
        <f>ROUND((+'Attendance, Revenue'!$E$13+'Attendance, Revenue'!$E$14)*'Expense Detail'!B98,0)</f>
        <v>0</v>
      </c>
      <c r="G97" s="119">
        <f>+E97*F97</f>
        <v>0</v>
      </c>
      <c r="H97" s="106"/>
      <c r="I97" s="230" t="s">
        <v>46</v>
      </c>
      <c r="J97" s="105"/>
      <c r="K97" s="134">
        <v>0</v>
      </c>
      <c r="L97" s="185">
        <f>ROUND((+'Attendance, Revenue'!$E$13+'Attendance, Revenue'!$E$14)*'Expense Detail'!H98,0)</f>
        <v>0</v>
      </c>
      <c r="M97" s="443">
        <f>+K97*L97</f>
        <v>0</v>
      </c>
      <c r="N97" s="106"/>
      <c r="O97" s="107"/>
      <c r="P97" s="105"/>
      <c r="Q97" s="134">
        <v>0</v>
      </c>
      <c r="R97" s="185">
        <f>ROUND((+'Attendance, Revenue'!$E$13+'Attendance, Revenue'!$E$14)*'Expense Detail'!N98,0)</f>
        <v>0</v>
      </c>
      <c r="S97" s="427">
        <f>+Q97*R97</f>
        <v>0</v>
      </c>
      <c r="T97" s="106"/>
      <c r="U97" s="396" t="s">
        <v>338</v>
      </c>
      <c r="V97" s="273">
        <f>+S57-70</f>
        <v>1165.8699999999999</v>
      </c>
      <c r="W97" s="273">
        <f>+V97-V98</f>
        <v>0</v>
      </c>
    </row>
    <row r="98" spans="1:25" s="2" customFormat="1" x14ac:dyDescent="0.3">
      <c r="A98" s="177"/>
      <c r="B98" s="204">
        <f>+'Expense Detail'!Y66</f>
        <v>0.88474970896391147</v>
      </c>
      <c r="C98" s="71" t="s">
        <v>9</v>
      </c>
      <c r="D98" s="105"/>
      <c r="E98" s="134">
        <v>15.75</v>
      </c>
      <c r="F98" s="185">
        <f>ROUND(('Attendance, Revenue'!E$12)*'Expense Detail'!B98,0)</f>
        <v>19</v>
      </c>
      <c r="G98" s="119">
        <f>+E98*F98</f>
        <v>299.25</v>
      </c>
      <c r="H98" s="106"/>
      <c r="I98" s="204">
        <f>+'Registration Grid'!D23</f>
        <v>0.87992831541218641</v>
      </c>
      <c r="J98" s="105"/>
      <c r="K98" s="134">
        <v>15.75</v>
      </c>
      <c r="L98" s="185">
        <v>0</v>
      </c>
      <c r="M98" s="443">
        <f>+K98*L98</f>
        <v>0</v>
      </c>
      <c r="N98" s="106"/>
      <c r="O98" s="107"/>
      <c r="P98" s="105"/>
      <c r="Q98" s="134">
        <v>15.75</v>
      </c>
      <c r="R98" s="185">
        <v>0</v>
      </c>
      <c r="S98" s="427">
        <f>+Q98*R98</f>
        <v>0</v>
      </c>
      <c r="T98" s="106"/>
      <c r="U98" s="396"/>
      <c r="V98" s="273">
        <f>1051.01+114.86</f>
        <v>1165.8699999999999</v>
      </c>
    </row>
    <row r="99" spans="1:25" ht="13.5" customHeight="1" x14ac:dyDescent="0.3">
      <c r="A99" s="177"/>
      <c r="B99" s="230" t="s">
        <v>124</v>
      </c>
      <c r="C99" s="71" t="s">
        <v>2</v>
      </c>
      <c r="D99" s="65"/>
      <c r="E99" s="134">
        <v>15.75</v>
      </c>
      <c r="F99" s="185">
        <f>ROUND(('Attendance, Revenue'!E$9+'Attendance, Revenue'!E$10+'Attendance, Revenue'!E$11)*B98,0)</f>
        <v>380</v>
      </c>
      <c r="G99" s="119">
        <f>E99*F99</f>
        <v>5985</v>
      </c>
      <c r="H99" s="94"/>
      <c r="I99" s="230" t="s">
        <v>266</v>
      </c>
      <c r="J99" s="65"/>
      <c r="K99" s="134">
        <v>15.75</v>
      </c>
      <c r="L99" s="185">
        <v>479</v>
      </c>
      <c r="M99" s="443">
        <f>K99*L99</f>
        <v>7544.25</v>
      </c>
      <c r="N99" s="94"/>
      <c r="O99" s="85"/>
      <c r="P99" s="65"/>
      <c r="Q99" s="134">
        <v>15.75</v>
      </c>
      <c r="R99" s="185">
        <v>479</v>
      </c>
      <c r="S99" s="427">
        <f>Q99*R99</f>
        <v>7544.25</v>
      </c>
      <c r="T99" s="94"/>
      <c r="U99" s="396" t="s">
        <v>78</v>
      </c>
      <c r="V99" s="273">
        <f>+S119</f>
        <v>263.8</v>
      </c>
      <c r="W99" s="273">
        <f>+V99-V100</f>
        <v>0</v>
      </c>
    </row>
    <row r="100" spans="1:25" x14ac:dyDescent="0.3">
      <c r="A100" s="177"/>
      <c r="B100" s="129"/>
      <c r="C100" s="71" t="s">
        <v>142</v>
      </c>
      <c r="D100" s="65"/>
      <c r="E100" s="187" t="s">
        <v>24</v>
      </c>
      <c r="F100" s="237"/>
      <c r="G100" s="206">
        <f>SUM(G98:G99)*0.17</f>
        <v>1068.3225</v>
      </c>
      <c r="H100" s="94"/>
      <c r="I100" s="85"/>
      <c r="J100" s="65"/>
      <c r="K100" s="187" t="s">
        <v>24</v>
      </c>
      <c r="L100" s="237"/>
      <c r="M100" s="453">
        <f>SUM(M98:M99)*0.17</f>
        <v>1282.5225</v>
      </c>
      <c r="N100" s="94"/>
      <c r="O100" s="85"/>
      <c r="P100" s="470">
        <v>0.17</v>
      </c>
      <c r="Q100" s="187" t="s">
        <v>24</v>
      </c>
      <c r="R100" s="237"/>
      <c r="S100" s="471">
        <f>SUM(S98:S99)*0.17</f>
        <v>1282.5225</v>
      </c>
      <c r="T100" s="94"/>
      <c r="U100" s="396"/>
      <c r="V100" s="273">
        <v>263.8</v>
      </c>
    </row>
    <row r="101" spans="1:25" x14ac:dyDescent="0.3">
      <c r="A101" s="177"/>
      <c r="B101" s="129"/>
      <c r="C101" s="71" t="s">
        <v>141</v>
      </c>
      <c r="D101" s="119">
        <v>40</v>
      </c>
      <c r="E101" s="134"/>
      <c r="F101" s="205"/>
      <c r="G101" s="119">
        <f>+D101</f>
        <v>40</v>
      </c>
      <c r="H101" s="94"/>
      <c r="I101" s="85"/>
      <c r="J101" s="119">
        <v>40</v>
      </c>
      <c r="K101" s="134"/>
      <c r="L101" s="205"/>
      <c r="M101" s="443">
        <f>+J101</f>
        <v>40</v>
      </c>
      <c r="N101" s="94"/>
      <c r="O101" s="85"/>
      <c r="P101" s="119">
        <v>0</v>
      </c>
      <c r="Q101" s="134"/>
      <c r="R101" s="205"/>
      <c r="S101" s="427">
        <f>+P101</f>
        <v>0</v>
      </c>
      <c r="T101" s="94"/>
      <c r="U101" t="s">
        <v>339</v>
      </c>
      <c r="V101" s="273">
        <f>+T130</f>
        <v>16926.78</v>
      </c>
      <c r="W101" s="273">
        <f>+V101-V102</f>
        <v>0</v>
      </c>
    </row>
    <row r="102" spans="1:25" x14ac:dyDescent="0.3">
      <c r="A102" s="177"/>
      <c r="B102" s="129"/>
      <c r="C102" s="71"/>
      <c r="D102" s="65"/>
      <c r="E102" s="187"/>
      <c r="F102" s="185"/>
      <c r="G102" s="119"/>
      <c r="H102" s="94"/>
      <c r="I102" s="85"/>
      <c r="J102" s="65"/>
      <c r="K102" s="187"/>
      <c r="L102" s="185"/>
      <c r="M102" s="443"/>
      <c r="N102" s="94"/>
      <c r="O102" s="85"/>
      <c r="P102" s="65"/>
      <c r="Q102" s="187"/>
      <c r="R102" s="185"/>
      <c r="S102" s="425"/>
      <c r="T102" s="94"/>
      <c r="V102" s="273">
        <f>10000+6383.44+543.34</f>
        <v>16926.78</v>
      </c>
    </row>
    <row r="103" spans="1:25" x14ac:dyDescent="0.3">
      <c r="A103" s="203" t="s">
        <v>298</v>
      </c>
      <c r="B103" s="175"/>
      <c r="C103" s="60"/>
      <c r="D103" s="65"/>
      <c r="E103" s="83"/>
      <c r="F103" s="83"/>
      <c r="G103" s="130"/>
      <c r="H103" s="106">
        <f>SUM(G104:G110)</f>
        <v>33610.379999999997</v>
      </c>
      <c r="I103" s="85"/>
      <c r="J103" s="82"/>
      <c r="K103" s="309"/>
      <c r="L103" s="309"/>
      <c r="M103" s="437"/>
      <c r="N103" s="106">
        <f>SUM(M104:M110)</f>
        <v>38233.18</v>
      </c>
      <c r="O103" s="85"/>
      <c r="P103" s="65"/>
      <c r="Q103" s="226"/>
      <c r="R103" s="226"/>
      <c r="S103" s="432"/>
      <c r="T103" s="106">
        <f>SUM(S104:S110)</f>
        <v>38125.49</v>
      </c>
      <c r="U103" t="s">
        <v>67</v>
      </c>
      <c r="V103" s="273">
        <f>+T7+T23+T41+70-S31</f>
        <v>58211.119999999995</v>
      </c>
      <c r="W103" s="273">
        <f>+V103-V104</f>
        <v>0</v>
      </c>
    </row>
    <row r="104" spans="1:25" ht="21.6" x14ac:dyDescent="0.3">
      <c r="A104" s="177"/>
      <c r="B104" s="230" t="s">
        <v>130</v>
      </c>
      <c r="C104" s="71" t="s">
        <v>134</v>
      </c>
      <c r="D104" s="72"/>
      <c r="E104" s="134">
        <v>3</v>
      </c>
      <c r="F104" s="185">
        <v>200</v>
      </c>
      <c r="G104" s="119">
        <f>E104*F104</f>
        <v>600</v>
      </c>
      <c r="H104" s="94"/>
      <c r="I104" s="385" t="s">
        <v>31</v>
      </c>
      <c r="J104" s="384"/>
      <c r="K104" s="134">
        <v>3</v>
      </c>
      <c r="L104" s="185">
        <v>200</v>
      </c>
      <c r="M104" s="443">
        <f>K104*L104</f>
        <v>600</v>
      </c>
      <c r="N104" s="94"/>
      <c r="O104" s="85"/>
      <c r="P104" s="384"/>
      <c r="Q104" s="134">
        <v>3</v>
      </c>
      <c r="R104" s="185">
        <v>200</v>
      </c>
      <c r="S104" s="427">
        <f>Q104*R104</f>
        <v>600</v>
      </c>
      <c r="T104" s="94"/>
      <c r="V104" s="273">
        <f>55973.02+2238.1</f>
        <v>58211.119999999995</v>
      </c>
    </row>
    <row r="105" spans="1:25" x14ac:dyDescent="0.3">
      <c r="A105" s="177"/>
      <c r="B105" s="232">
        <v>0.95</v>
      </c>
      <c r="C105" s="71" t="s">
        <v>144</v>
      </c>
      <c r="D105" s="119"/>
      <c r="E105" s="134">
        <v>52</v>
      </c>
      <c r="F105" s="185">
        <f>ROUND(('Attendance, Revenue'!C18+'Attendance, Revenue'!C19)*'Expense Detail'!B105,0)</f>
        <v>347</v>
      </c>
      <c r="G105" s="119">
        <f>E105*F105</f>
        <v>18044</v>
      </c>
      <c r="H105" s="94"/>
      <c r="I105" s="386">
        <f>+'Registration Grid'!D24</f>
        <v>0.93348115299334811</v>
      </c>
      <c r="J105" s="119"/>
      <c r="K105" s="134">
        <v>52</v>
      </c>
      <c r="L105" s="185">
        <v>417</v>
      </c>
      <c r="M105" s="443">
        <f>K105*L105</f>
        <v>21684</v>
      </c>
      <c r="N105" s="94"/>
      <c r="O105" s="85"/>
      <c r="P105" s="119"/>
      <c r="Q105" s="134">
        <v>52</v>
      </c>
      <c r="R105" s="185">
        <v>417</v>
      </c>
      <c r="S105" s="427">
        <f>Q105*R105</f>
        <v>21684</v>
      </c>
      <c r="T105" s="94"/>
      <c r="U105" s="396" t="s">
        <v>340</v>
      </c>
      <c r="V105" s="273">
        <f>+S19+S20</f>
        <v>9884.5</v>
      </c>
      <c r="W105" s="273">
        <f>+V105-V106</f>
        <v>0</v>
      </c>
    </row>
    <row r="106" spans="1:25" ht="14.25" customHeight="1" x14ac:dyDescent="0.3">
      <c r="A106" s="177"/>
      <c r="B106" s="230" t="s">
        <v>124</v>
      </c>
      <c r="C106" s="60" t="s">
        <v>135</v>
      </c>
      <c r="D106" s="292">
        <v>0.09</v>
      </c>
      <c r="E106" s="134"/>
      <c r="F106" s="237"/>
      <c r="G106" s="294">
        <f>(G104+G105)*0.09</f>
        <v>1677.96</v>
      </c>
      <c r="H106" s="94"/>
      <c r="I106" s="385" t="s">
        <v>266</v>
      </c>
      <c r="J106" s="292">
        <v>0.09</v>
      </c>
      <c r="K106" s="134"/>
      <c r="L106" s="237"/>
      <c r="M106" s="454">
        <f>(M104+M105)*0.09</f>
        <v>2005.56</v>
      </c>
      <c r="N106" s="94"/>
      <c r="O106" s="85"/>
      <c r="P106" s="292">
        <v>0.09</v>
      </c>
      <c r="Q106" s="134"/>
      <c r="R106" s="237"/>
      <c r="S106" s="472">
        <f>(S104+S105)*0.09</f>
        <v>2005.56</v>
      </c>
      <c r="T106" s="94"/>
      <c r="U106" s="396"/>
      <c r="V106" s="273">
        <f>9884.5</f>
        <v>9884.5</v>
      </c>
    </row>
    <row r="107" spans="1:25" ht="14.25" customHeight="1" x14ac:dyDescent="0.3">
      <c r="A107" s="177"/>
      <c r="B107" s="230"/>
      <c r="C107" s="60" t="s">
        <v>137</v>
      </c>
      <c r="D107" s="119"/>
      <c r="E107" s="134"/>
      <c r="F107" s="237"/>
      <c r="G107" s="119">
        <v>4185.5</v>
      </c>
      <c r="H107" s="94"/>
      <c r="I107" s="85"/>
      <c r="J107" s="119"/>
      <c r="K107" s="134"/>
      <c r="L107" s="237"/>
      <c r="M107" s="443">
        <v>4185.5</v>
      </c>
      <c r="N107" s="94"/>
      <c r="O107" s="85"/>
      <c r="P107" s="119"/>
      <c r="Q107" s="134"/>
      <c r="R107" s="237"/>
      <c r="S107" s="427">
        <v>2517</v>
      </c>
      <c r="T107" s="94"/>
      <c r="W107" s="273"/>
    </row>
    <row r="108" spans="1:25" ht="14.25" customHeight="1" x14ac:dyDescent="0.3">
      <c r="A108" s="177"/>
      <c r="B108" s="129"/>
      <c r="C108" s="71" t="s">
        <v>138</v>
      </c>
      <c r="D108" s="65"/>
      <c r="E108" s="187" t="s">
        <v>24</v>
      </c>
      <c r="F108" s="225"/>
      <c r="G108" s="293">
        <f>(G104+G105)*0.18</f>
        <v>3355.92</v>
      </c>
      <c r="H108" s="94"/>
      <c r="I108" s="85"/>
      <c r="J108" s="65"/>
      <c r="K108" s="187" t="s">
        <v>24</v>
      </c>
      <c r="L108" s="309"/>
      <c r="M108" s="455">
        <f>(M104+M105)*0.18</f>
        <v>4011.12</v>
      </c>
      <c r="N108" s="94"/>
      <c r="O108" s="85"/>
      <c r="P108" s="65"/>
      <c r="Q108" s="187" t="s">
        <v>24</v>
      </c>
      <c r="R108" s="394"/>
      <c r="S108" s="473">
        <f>(S104+S105)*0.18</f>
        <v>4011.12</v>
      </c>
      <c r="T108" s="94"/>
      <c r="U108" t="s">
        <v>341</v>
      </c>
      <c r="V108" s="273">
        <f>+V71+V73+V75+V77+V79+V81+V83+V85+V87+V89+V91+V93+V95+V97+V99+V101+V103+V105</f>
        <v>195986.63</v>
      </c>
      <c r="W108" s="273">
        <f>+V108-V109</f>
        <v>269.26000000000931</v>
      </c>
      <c r="X108" t="s">
        <v>354</v>
      </c>
    </row>
    <row r="109" spans="1:25" ht="14.25" customHeight="1" x14ac:dyDescent="0.3">
      <c r="A109" s="177"/>
      <c r="B109" s="129"/>
      <c r="C109" s="71" t="s">
        <v>141</v>
      </c>
      <c r="D109" s="119">
        <v>2447</v>
      </c>
      <c r="E109" s="134">
        <f>1600+500+347</f>
        <v>2447</v>
      </c>
      <c r="F109" s="205"/>
      <c r="G109" s="119">
        <f>+D109</f>
        <v>2447</v>
      </c>
      <c r="H109" s="94"/>
      <c r="I109" s="85"/>
      <c r="J109" s="119">
        <v>2447</v>
      </c>
      <c r="K109" s="134">
        <f>1600+500+347</f>
        <v>2447</v>
      </c>
      <c r="L109" s="205"/>
      <c r="M109" s="443">
        <f>+J109</f>
        <v>2447</v>
      </c>
      <c r="N109" s="94"/>
      <c r="O109" s="85"/>
      <c r="P109" s="119">
        <f>1600+500+347</f>
        <v>2447</v>
      </c>
      <c r="Q109" s="134" t="s">
        <v>331</v>
      </c>
      <c r="R109" s="205"/>
      <c r="S109" s="427">
        <v>4840.75</v>
      </c>
      <c r="T109" s="94"/>
      <c r="U109" t="s">
        <v>356</v>
      </c>
      <c r="V109" s="273">
        <f>+V72+V74+V76+V78+V80+V82+V84+V86+V88+V90+V92+V94+V96+V98+V100+V102+V104+V106</f>
        <v>195717.37</v>
      </c>
      <c r="W109" s="273"/>
      <c r="X109" t="s">
        <v>355</v>
      </c>
      <c r="Y109" s="475"/>
    </row>
    <row r="110" spans="1:25" ht="24" x14ac:dyDescent="0.3">
      <c r="A110" s="177"/>
      <c r="B110" s="129"/>
      <c r="C110" s="60" t="s">
        <v>346</v>
      </c>
      <c r="D110" s="65"/>
      <c r="E110" s="83"/>
      <c r="F110" s="83"/>
      <c r="G110" s="130">
        <f>(2500+500+75+225)</f>
        <v>3300</v>
      </c>
      <c r="H110" s="94"/>
      <c r="I110" s="85"/>
      <c r="J110" s="65"/>
      <c r="K110" s="309"/>
      <c r="L110" s="309"/>
      <c r="M110" s="437">
        <f>(2500+500+75+225)</f>
        <v>3300</v>
      </c>
      <c r="N110" s="94"/>
      <c r="O110" s="85"/>
      <c r="P110" s="65"/>
      <c r="Q110" s="394"/>
      <c r="R110" s="394"/>
      <c r="S110" s="432">
        <f>(1912.5+325+57.38+172.18)</f>
        <v>2467.06</v>
      </c>
      <c r="T110" s="94"/>
    </row>
    <row r="111" spans="1:25" x14ac:dyDescent="0.3">
      <c r="A111" s="203" t="s">
        <v>325</v>
      </c>
      <c r="B111" s="175"/>
      <c r="C111" s="60"/>
      <c r="D111" s="65"/>
      <c r="E111" s="83"/>
      <c r="F111" s="83"/>
      <c r="G111" s="130"/>
      <c r="H111" s="106">
        <f>SUM(G112:G116)</f>
        <v>7417</v>
      </c>
      <c r="I111" s="85"/>
      <c r="J111" s="65"/>
      <c r="K111" s="309"/>
      <c r="L111" s="309"/>
      <c r="M111" s="437"/>
      <c r="N111" s="106">
        <f>SUM(M112:M116)</f>
        <v>10409</v>
      </c>
      <c r="O111" s="85"/>
      <c r="P111" s="65"/>
      <c r="Q111" s="226"/>
      <c r="R111" s="226"/>
      <c r="S111" s="432"/>
      <c r="T111" s="106">
        <f>SUM(S112:S116)</f>
        <v>11110</v>
      </c>
    </row>
    <row r="112" spans="1:25" s="2" customFormat="1" ht="21.6" x14ac:dyDescent="0.3">
      <c r="A112" s="203"/>
      <c r="B112" s="230" t="s">
        <v>46</v>
      </c>
      <c r="C112" s="71" t="s">
        <v>48</v>
      </c>
      <c r="D112" s="105"/>
      <c r="E112" s="134">
        <v>0</v>
      </c>
      <c r="F112" s="185">
        <f>ROUND((+'Attendance, Revenue'!$E$13+'Attendance, Revenue'!$E$14)*'Expense Detail'!B113,0)</f>
        <v>0</v>
      </c>
      <c r="G112" s="119">
        <f>+E112*F112</f>
        <v>0</v>
      </c>
      <c r="H112" s="106"/>
      <c r="I112" s="230" t="s">
        <v>46</v>
      </c>
      <c r="J112" s="105"/>
      <c r="K112" s="134">
        <v>0</v>
      </c>
      <c r="L112" s="185">
        <f>ROUND((+'Attendance, Revenue'!$E$13+'Attendance, Revenue'!$E$14)*'Expense Detail'!H113,0)</f>
        <v>0</v>
      </c>
      <c r="M112" s="443">
        <f>+K112*L112</f>
        <v>0</v>
      </c>
      <c r="N112" s="106"/>
      <c r="O112" s="107"/>
      <c r="P112" s="105"/>
      <c r="Q112" s="134">
        <v>0</v>
      </c>
      <c r="R112" s="185">
        <f>ROUND((+'Attendance, Revenue'!$E$13+'Attendance, Revenue'!$E$14)*'Expense Detail'!N113,0)</f>
        <v>0</v>
      </c>
      <c r="S112" s="427">
        <f>+Q112*R112</f>
        <v>0</v>
      </c>
      <c r="T112" s="106"/>
      <c r="U112"/>
      <c r="V112"/>
    </row>
    <row r="113" spans="1:22" s="2" customFormat="1" x14ac:dyDescent="0.3">
      <c r="A113" s="177"/>
      <c r="B113" s="204">
        <f>+'Expense Detail'!Y68</f>
        <v>0.72176949941792778</v>
      </c>
      <c r="C113" s="71" t="s">
        <v>9</v>
      </c>
      <c r="D113" s="105"/>
      <c r="E113" s="134">
        <v>22</v>
      </c>
      <c r="F113" s="185">
        <f>ROUND(('Attendance, Revenue'!E$12)*'Expense Detail'!B113,0)</f>
        <v>16</v>
      </c>
      <c r="G113" s="119">
        <f>+E113*F113</f>
        <v>352</v>
      </c>
      <c r="H113" s="106"/>
      <c r="I113" s="204">
        <f>+'Registration Grid'!D25</f>
        <v>0.83870967741935487</v>
      </c>
      <c r="J113" s="105"/>
      <c r="K113" s="134">
        <v>22</v>
      </c>
      <c r="L113" s="185">
        <v>0</v>
      </c>
      <c r="M113" s="443">
        <f>+K113*L113</f>
        <v>0</v>
      </c>
      <c r="N113" s="106"/>
      <c r="O113" s="107"/>
      <c r="P113" s="105"/>
      <c r="Q113" s="134">
        <v>22</v>
      </c>
      <c r="R113" s="185">
        <v>25</v>
      </c>
      <c r="S113" s="427">
        <f>+Q113*R113</f>
        <v>550</v>
      </c>
      <c r="T113" s="106"/>
      <c r="U113" s="269"/>
      <c r="V113"/>
    </row>
    <row r="114" spans="1:22" ht="15.75" customHeight="1" x14ac:dyDescent="0.3">
      <c r="A114" s="177"/>
      <c r="B114" s="230" t="s">
        <v>124</v>
      </c>
      <c r="C114" s="71" t="s">
        <v>2</v>
      </c>
      <c r="D114" s="65"/>
      <c r="E114" s="134">
        <v>22</v>
      </c>
      <c r="F114" s="185">
        <f>ROUND(('Attendance, Revenue'!E$9+'Attendance, Revenue'!E$10+'Attendance, Revenue'!E$11)*B113,0)</f>
        <v>310</v>
      </c>
      <c r="G114" s="119">
        <f>E114*F114</f>
        <v>6820</v>
      </c>
      <c r="H114" s="94"/>
      <c r="I114" s="230" t="s">
        <v>266</v>
      </c>
      <c r="J114" s="65"/>
      <c r="K114" s="134">
        <v>22</v>
      </c>
      <c r="L114" s="185">
        <v>462</v>
      </c>
      <c r="M114" s="443">
        <f>K114*L114</f>
        <v>10164</v>
      </c>
      <c r="N114" s="94"/>
      <c r="O114" s="85"/>
      <c r="P114" s="65"/>
      <c r="Q114" s="134">
        <v>22</v>
      </c>
      <c r="R114" s="185">
        <v>480</v>
      </c>
      <c r="S114" s="427">
        <f>Q114*R114</f>
        <v>10560</v>
      </c>
      <c r="T114" s="94"/>
      <c r="U114" s="2"/>
      <c r="V114" s="2"/>
    </row>
    <row r="115" spans="1:22" x14ac:dyDescent="0.3">
      <c r="A115" s="177"/>
      <c r="B115" s="204"/>
      <c r="C115" s="71" t="s">
        <v>143</v>
      </c>
      <c r="D115" s="291" t="s">
        <v>139</v>
      </c>
      <c r="E115" s="187" t="s">
        <v>24</v>
      </c>
      <c r="F115" s="237"/>
      <c r="G115" s="206">
        <f>+G116*0.1633*0</f>
        <v>0</v>
      </c>
      <c r="H115" s="94"/>
      <c r="I115" s="85"/>
      <c r="J115" s="291" t="s">
        <v>139</v>
      </c>
      <c r="K115" s="187" t="s">
        <v>24</v>
      </c>
      <c r="L115" s="237"/>
      <c r="M115" s="453">
        <f>+M116*0.1633*0</f>
        <v>0</v>
      </c>
      <c r="N115" s="94"/>
      <c r="O115" s="85"/>
      <c r="P115" s="291" t="s">
        <v>139</v>
      </c>
      <c r="Q115" s="187" t="s">
        <v>24</v>
      </c>
      <c r="R115" s="237"/>
      <c r="S115" s="471">
        <f>+S116*0.1633*0</f>
        <v>0</v>
      </c>
      <c r="T115" s="94"/>
      <c r="U115" s="2"/>
      <c r="V115" s="2"/>
    </row>
    <row r="116" spans="1:22" x14ac:dyDescent="0.3">
      <c r="A116" s="177"/>
      <c r="B116" s="129"/>
      <c r="C116" s="71" t="s">
        <v>141</v>
      </c>
      <c r="D116" s="119">
        <v>245</v>
      </c>
      <c r="E116" s="134"/>
      <c r="F116" s="205"/>
      <c r="G116" s="119">
        <f>+D116</f>
        <v>245</v>
      </c>
      <c r="H116" s="94"/>
      <c r="I116" s="85"/>
      <c r="J116" s="119">
        <v>245</v>
      </c>
      <c r="K116" s="134"/>
      <c r="L116" s="205"/>
      <c r="M116" s="443">
        <f>+J116</f>
        <v>245</v>
      </c>
      <c r="N116" s="94"/>
      <c r="O116" s="85"/>
      <c r="P116" s="291" t="s">
        <v>139</v>
      </c>
      <c r="Q116" s="134"/>
      <c r="R116" s="205"/>
      <c r="S116" s="427">
        <v>0</v>
      </c>
      <c r="T116" s="94"/>
    </row>
    <row r="117" spans="1:22" x14ac:dyDescent="0.3">
      <c r="A117" s="177"/>
      <c r="B117" s="129"/>
      <c r="C117" s="98"/>
      <c r="D117" s="119"/>
      <c r="E117" s="134"/>
      <c r="F117" s="205"/>
      <c r="G117" s="119"/>
      <c r="H117" s="94"/>
      <c r="I117" s="85"/>
      <c r="J117" s="119"/>
      <c r="K117" s="134"/>
      <c r="L117" s="205"/>
      <c r="M117" s="443"/>
      <c r="N117" s="94"/>
      <c r="O117" s="85"/>
      <c r="P117" s="119"/>
      <c r="Q117" s="134"/>
      <c r="R117" s="205"/>
      <c r="S117" s="427"/>
      <c r="T117" s="106"/>
    </row>
    <row r="118" spans="1:22" x14ac:dyDescent="0.3">
      <c r="A118" s="203" t="s">
        <v>147</v>
      </c>
      <c r="B118" s="129"/>
      <c r="C118" s="71" t="s">
        <v>136</v>
      </c>
      <c r="D118" s="119">
        <f>2012</f>
        <v>2012</v>
      </c>
      <c r="E118" s="134"/>
      <c r="F118" s="205"/>
      <c r="G118" s="119">
        <f>+D118</f>
        <v>2012</v>
      </c>
      <c r="H118" s="106">
        <f>+G118+G119+G120</f>
        <v>2835.75</v>
      </c>
      <c r="I118" s="85"/>
      <c r="J118" s="119">
        <f>2012</f>
        <v>2012</v>
      </c>
      <c r="K118" s="134"/>
      <c r="L118" s="205"/>
      <c r="M118" s="443">
        <f>+J118</f>
        <v>2012</v>
      </c>
      <c r="N118" s="106">
        <f>+M118+M119+M120</f>
        <v>2835.75</v>
      </c>
      <c r="O118" s="85"/>
      <c r="P118" s="119">
        <v>1012</v>
      </c>
      <c r="Q118" s="134"/>
      <c r="R118" s="205"/>
      <c r="S118" s="427">
        <v>1012</v>
      </c>
      <c r="T118" s="106">
        <f>+S118+S119+S120+S121</f>
        <v>1727.0500000000002</v>
      </c>
    </row>
    <row r="119" spans="1:22" x14ac:dyDescent="0.3">
      <c r="A119" s="177"/>
      <c r="B119" s="129"/>
      <c r="C119" s="71" t="s">
        <v>145</v>
      </c>
      <c r="D119" s="119">
        <f>150+173.75</f>
        <v>323.75</v>
      </c>
      <c r="E119" s="134"/>
      <c r="F119" s="205"/>
      <c r="G119" s="119">
        <f>+D119</f>
        <v>323.75</v>
      </c>
      <c r="H119" s="94"/>
      <c r="I119" s="85"/>
      <c r="J119" s="119">
        <f>150+173.75</f>
        <v>323.75</v>
      </c>
      <c r="K119" s="134"/>
      <c r="L119" s="205"/>
      <c r="M119" s="443">
        <f>+J119</f>
        <v>323.75</v>
      </c>
      <c r="N119" s="94"/>
      <c r="O119" s="85"/>
      <c r="P119" s="119">
        <v>263.8</v>
      </c>
      <c r="Q119" s="134"/>
      <c r="R119" s="205"/>
      <c r="S119" s="427">
        <v>263.8</v>
      </c>
      <c r="T119" s="94"/>
      <c r="U119" s="247"/>
    </row>
    <row r="120" spans="1:22" x14ac:dyDescent="0.3">
      <c r="A120" s="177"/>
      <c r="B120" s="129"/>
      <c r="C120" s="60" t="s">
        <v>321</v>
      </c>
      <c r="D120" s="111">
        <v>500</v>
      </c>
      <c r="E120" s="302"/>
      <c r="F120" s="302"/>
      <c r="G120" s="130">
        <f>+D120</f>
        <v>500</v>
      </c>
      <c r="H120" s="94"/>
      <c r="I120" s="85"/>
      <c r="J120" s="111">
        <v>500</v>
      </c>
      <c r="K120" s="309"/>
      <c r="L120" s="309"/>
      <c r="M120" s="437">
        <f>+J120</f>
        <v>500</v>
      </c>
      <c r="N120" s="94"/>
      <c r="O120" s="85"/>
      <c r="P120" s="111">
        <v>2436</v>
      </c>
      <c r="Q120" s="394"/>
      <c r="R120" s="394"/>
      <c r="S120" s="432">
        <f>+P120</f>
        <v>2436</v>
      </c>
      <c r="T120" s="94"/>
    </row>
    <row r="121" spans="1:22" x14ac:dyDescent="0.3">
      <c r="A121" s="181"/>
      <c r="B121" s="68"/>
      <c r="C121" s="69" t="s">
        <v>326</v>
      </c>
      <c r="D121" s="73"/>
      <c r="E121" s="74"/>
      <c r="F121" s="74"/>
      <c r="G121" s="108"/>
      <c r="H121" s="96"/>
      <c r="I121" s="85"/>
      <c r="J121" s="73"/>
      <c r="K121" s="74"/>
      <c r="L121" s="74"/>
      <c r="M121" s="438"/>
      <c r="N121" s="96"/>
      <c r="O121" s="85"/>
      <c r="P121" s="73"/>
      <c r="Q121" s="74"/>
      <c r="R121" s="74"/>
      <c r="S121" s="474">
        <v>-1984.75</v>
      </c>
      <c r="T121" s="96"/>
    </row>
    <row r="122" spans="1:22" x14ac:dyDescent="0.3">
      <c r="A122" s="184" t="s">
        <v>97</v>
      </c>
      <c r="B122" s="99"/>
      <c r="C122" s="117"/>
      <c r="D122" s="100"/>
      <c r="E122" s="101"/>
      <c r="F122" s="101"/>
      <c r="G122" s="118"/>
      <c r="H122" s="102">
        <f>SUM(G123:G129)</f>
        <v>4273</v>
      </c>
      <c r="I122" s="85"/>
      <c r="J122" s="100"/>
      <c r="K122" s="101"/>
      <c r="L122" s="101"/>
      <c r="M122" s="444"/>
      <c r="N122" s="102">
        <f>SUM(M123:M129)</f>
        <v>4273</v>
      </c>
      <c r="O122" s="85"/>
      <c r="P122" s="100"/>
      <c r="Q122" s="101"/>
      <c r="R122" s="101"/>
      <c r="S122" s="424"/>
      <c r="T122" s="102">
        <f>SUM(S123:S129)</f>
        <v>3874</v>
      </c>
    </row>
    <row r="123" spans="1:22" x14ac:dyDescent="0.3">
      <c r="A123" s="174"/>
      <c r="B123" s="70" t="s">
        <v>25</v>
      </c>
      <c r="C123" s="114" t="s">
        <v>74</v>
      </c>
      <c r="D123" s="115">
        <v>0</v>
      </c>
      <c r="E123" s="83"/>
      <c r="F123" s="83"/>
      <c r="G123" s="119">
        <f>SUM(D123:E124)</f>
        <v>0</v>
      </c>
      <c r="H123" s="91"/>
      <c r="I123" s="85"/>
      <c r="J123" s="115">
        <v>0</v>
      </c>
      <c r="K123" s="309"/>
      <c r="L123" s="309"/>
      <c r="M123" s="443">
        <f>SUM(J123:K124)</f>
        <v>0</v>
      </c>
      <c r="N123" s="91"/>
      <c r="O123" s="85"/>
      <c r="P123" s="115">
        <v>0</v>
      </c>
      <c r="Q123" s="252"/>
      <c r="R123" s="252"/>
      <c r="S123" s="416">
        <f>SUM(P123:Q124)</f>
        <v>0</v>
      </c>
      <c r="T123" s="91"/>
    </row>
    <row r="124" spans="1:22" x14ac:dyDescent="0.3">
      <c r="A124" s="177"/>
      <c r="B124" s="129"/>
      <c r="C124" s="71"/>
      <c r="D124" s="116"/>
      <c r="E124" s="83"/>
      <c r="F124" s="83"/>
      <c r="G124" s="130"/>
      <c r="H124" s="94"/>
      <c r="I124" s="85"/>
      <c r="J124" s="116"/>
      <c r="K124" s="309"/>
      <c r="L124" s="309"/>
      <c r="M124" s="437"/>
      <c r="N124" s="94"/>
      <c r="O124" s="85"/>
      <c r="P124" s="116"/>
      <c r="Q124" s="252"/>
      <c r="R124" s="252"/>
      <c r="S124" s="434"/>
      <c r="T124" s="94"/>
    </row>
    <row r="125" spans="1:22" x14ac:dyDescent="0.3">
      <c r="A125" s="177"/>
      <c r="B125" s="175" t="s">
        <v>65</v>
      </c>
      <c r="C125" s="98" t="s">
        <v>75</v>
      </c>
      <c r="D125" s="115">
        <v>900</v>
      </c>
      <c r="E125" s="83"/>
      <c r="F125" s="83"/>
      <c r="G125" s="119">
        <f>SUM(D125:E126)</f>
        <v>900</v>
      </c>
      <c r="H125" s="94"/>
      <c r="I125" s="85"/>
      <c r="J125" s="115">
        <v>900</v>
      </c>
      <c r="K125" s="309"/>
      <c r="L125" s="309"/>
      <c r="M125" s="443">
        <f>SUM(J125:K126)</f>
        <v>900</v>
      </c>
      <c r="N125" s="94"/>
      <c r="O125" s="85"/>
      <c r="P125" s="115">
        <v>525</v>
      </c>
      <c r="Q125" s="394"/>
      <c r="R125" s="394"/>
      <c r="S125" s="427">
        <f>SUM(P125:Q126)</f>
        <v>525</v>
      </c>
      <c r="T125" s="94"/>
    </row>
    <row r="126" spans="1:22" x14ac:dyDescent="0.3">
      <c r="A126" s="177"/>
      <c r="B126" s="129"/>
      <c r="C126" s="71"/>
      <c r="D126" s="116"/>
      <c r="E126" s="83"/>
      <c r="F126" s="83"/>
      <c r="G126" s="130"/>
      <c r="H126" s="94"/>
      <c r="I126" s="85"/>
      <c r="J126" s="116"/>
      <c r="K126" s="309"/>
      <c r="L126" s="309"/>
      <c r="M126" s="437"/>
      <c r="N126" s="94"/>
      <c r="O126" s="85"/>
      <c r="P126" s="116"/>
      <c r="Q126" s="394"/>
      <c r="R126" s="394"/>
      <c r="S126" s="434"/>
      <c r="T126" s="94"/>
    </row>
    <row r="127" spans="1:22" x14ac:dyDescent="0.3">
      <c r="A127" s="177"/>
      <c r="B127" s="175" t="s">
        <v>66</v>
      </c>
      <c r="C127" s="71" t="s">
        <v>125</v>
      </c>
      <c r="D127" s="115">
        <v>2873</v>
      </c>
      <c r="E127" s="83"/>
      <c r="F127" s="83"/>
      <c r="G127" s="119">
        <f>SUM(D127:E127)</f>
        <v>2873</v>
      </c>
      <c r="H127" s="94"/>
      <c r="I127" s="85"/>
      <c r="J127" s="115">
        <v>2873</v>
      </c>
      <c r="K127" s="309"/>
      <c r="L127" s="309"/>
      <c r="M127" s="443">
        <f>SUM(J127:K127)</f>
        <v>2873</v>
      </c>
      <c r="N127" s="94"/>
      <c r="O127" s="85"/>
      <c r="P127" s="115">
        <v>2873</v>
      </c>
      <c r="Q127" s="394"/>
      <c r="R127" s="394"/>
      <c r="S127" s="416">
        <f>SUM(P127:Q127)</f>
        <v>2873</v>
      </c>
      <c r="T127" s="94"/>
      <c r="U127" s="247"/>
    </row>
    <row r="128" spans="1:22" x14ac:dyDescent="0.3">
      <c r="A128" s="177"/>
      <c r="B128" s="175"/>
      <c r="C128" s="60" t="s">
        <v>112</v>
      </c>
      <c r="D128" s="116">
        <v>500</v>
      </c>
      <c r="E128" s="83"/>
      <c r="F128" s="83"/>
      <c r="G128" s="130">
        <f>D128</f>
        <v>500</v>
      </c>
      <c r="H128" s="94"/>
      <c r="I128" s="85"/>
      <c r="J128" s="116">
        <v>500</v>
      </c>
      <c r="K128" s="309"/>
      <c r="L128" s="309"/>
      <c r="M128" s="437">
        <f>J128</f>
        <v>500</v>
      </c>
      <c r="N128" s="94"/>
      <c r="O128" s="85"/>
      <c r="P128" s="116">
        <v>500</v>
      </c>
      <c r="Q128" s="394"/>
      <c r="R128" s="394"/>
      <c r="S128" s="420">
        <v>476</v>
      </c>
      <c r="T128" s="94"/>
    </row>
    <row r="129" spans="1:21" x14ac:dyDescent="0.3">
      <c r="A129" s="181"/>
      <c r="B129" s="68"/>
      <c r="C129" s="69"/>
      <c r="D129" s="73"/>
      <c r="E129" s="74"/>
      <c r="F129" s="74"/>
      <c r="G129" s="108"/>
      <c r="H129" s="96"/>
      <c r="I129" s="85"/>
      <c r="J129" s="73"/>
      <c r="K129" s="74"/>
      <c r="L129" s="74"/>
      <c r="M129" s="438"/>
      <c r="N129" s="96"/>
      <c r="O129" s="85"/>
      <c r="P129" s="73"/>
      <c r="Q129" s="74"/>
      <c r="R129" s="74"/>
      <c r="S129" s="421"/>
      <c r="T129" s="96"/>
    </row>
    <row r="130" spans="1:21" x14ac:dyDescent="0.3">
      <c r="A130" s="184" t="s">
        <v>52</v>
      </c>
      <c r="B130" s="120"/>
      <c r="C130" s="121"/>
      <c r="D130" s="122"/>
      <c r="E130" s="123"/>
      <c r="F130" s="123"/>
      <c r="G130" s="124"/>
      <c r="H130" s="102">
        <f>SUM(G131:G136)</f>
        <v>13682</v>
      </c>
      <c r="I130" s="402"/>
      <c r="J130" s="122"/>
      <c r="K130" s="123"/>
      <c r="L130" s="123"/>
      <c r="M130" s="448"/>
      <c r="N130" s="102">
        <f>SUM(M131:M136)</f>
        <v>17413.11</v>
      </c>
      <c r="O130" s="402"/>
      <c r="P130" s="122"/>
      <c r="Q130" s="123"/>
      <c r="R130" s="123"/>
      <c r="S130" s="426"/>
      <c r="T130" s="477">
        <f>SUM(S131:S136)</f>
        <v>16926.78</v>
      </c>
    </row>
    <row r="131" spans="1:21" x14ac:dyDescent="0.3">
      <c r="A131" s="177"/>
      <c r="B131" s="175" t="s">
        <v>43</v>
      </c>
      <c r="C131" s="60"/>
      <c r="D131" s="65"/>
      <c r="E131" s="83"/>
      <c r="F131" s="83"/>
      <c r="G131" s="109">
        <v>4487</v>
      </c>
      <c r="H131" s="94"/>
      <c r="I131" s="85"/>
      <c r="J131" s="65"/>
      <c r="K131" s="309"/>
      <c r="L131" s="309"/>
      <c r="M131" s="447">
        <f>+Beverage!H46</f>
        <v>5768.8</v>
      </c>
      <c r="N131" s="94"/>
      <c r="O131" s="85"/>
      <c r="P131" s="65"/>
      <c r="Q131" s="252"/>
      <c r="R131" s="252"/>
      <c r="S131" s="447">
        <f>+Beverage!J46</f>
        <v>6327.14</v>
      </c>
      <c r="T131" s="94"/>
    </row>
    <row r="132" spans="1:21" x14ac:dyDescent="0.3">
      <c r="A132" s="177"/>
      <c r="B132" s="138" t="s">
        <v>76</v>
      </c>
      <c r="C132" s="60"/>
      <c r="D132" s="65"/>
      <c r="E132" s="83"/>
      <c r="F132" s="83"/>
      <c r="G132" s="119">
        <v>6765</v>
      </c>
      <c r="H132" s="94"/>
      <c r="I132" s="85"/>
      <c r="J132" s="65"/>
      <c r="K132" s="309"/>
      <c r="L132" s="309"/>
      <c r="M132" s="443">
        <f>+Beverage!H45</f>
        <v>8957.25</v>
      </c>
      <c r="N132" s="94"/>
      <c r="O132" s="85"/>
      <c r="P132" s="65"/>
      <c r="Q132" s="252"/>
      <c r="R132" s="252"/>
      <c r="S132" s="443">
        <f>+Beverage!J45</f>
        <v>8940.89</v>
      </c>
      <c r="T132" s="94"/>
    </row>
    <row r="133" spans="1:21" x14ac:dyDescent="0.3">
      <c r="A133" s="177"/>
      <c r="B133" s="138" t="s">
        <v>77</v>
      </c>
      <c r="C133" s="60"/>
      <c r="D133" s="65"/>
      <c r="E133" s="83"/>
      <c r="F133" s="83"/>
      <c r="G133" s="119">
        <v>0</v>
      </c>
      <c r="H133" s="94"/>
      <c r="I133" s="85"/>
      <c r="J133" s="65"/>
      <c r="K133" s="309"/>
      <c r="L133" s="309"/>
      <c r="M133" s="443">
        <v>0</v>
      </c>
      <c r="N133" s="94"/>
      <c r="O133" s="85"/>
      <c r="P133" s="65"/>
      <c r="Q133" s="252"/>
      <c r="R133" s="252"/>
      <c r="S133" s="443">
        <v>0</v>
      </c>
      <c r="T133" s="94"/>
    </row>
    <row r="134" spans="1:21" x14ac:dyDescent="0.3">
      <c r="A134" s="177"/>
      <c r="B134" s="138" t="s">
        <v>79</v>
      </c>
      <c r="C134" s="60"/>
      <c r="D134" s="65"/>
      <c r="E134" s="83"/>
      <c r="F134" s="83"/>
      <c r="G134" s="119">
        <v>228</v>
      </c>
      <c r="H134" s="94"/>
      <c r="I134" s="85"/>
      <c r="J134" s="65"/>
      <c r="K134" s="309"/>
      <c r="L134" s="309"/>
      <c r="M134" s="443">
        <f>+Beverage!H47</f>
        <v>307.56</v>
      </c>
      <c r="N134" s="94"/>
      <c r="O134" s="85"/>
      <c r="P134" s="65"/>
      <c r="Q134" s="252"/>
      <c r="R134" s="252"/>
      <c r="S134" s="443">
        <f>+Beverage!J47</f>
        <v>0</v>
      </c>
      <c r="T134" s="94"/>
    </row>
    <row r="135" spans="1:21" x14ac:dyDescent="0.3">
      <c r="A135" s="177"/>
      <c r="B135" s="138" t="s">
        <v>78</v>
      </c>
      <c r="C135" s="60"/>
      <c r="D135" s="65"/>
      <c r="E135" s="83"/>
      <c r="F135" s="83"/>
      <c r="G135" s="119">
        <v>502</v>
      </c>
      <c r="H135" s="94"/>
      <c r="I135" s="85"/>
      <c r="J135" s="65"/>
      <c r="K135" s="309"/>
      <c r="L135" s="309"/>
      <c r="M135" s="443">
        <f>+Beverage!H48</f>
        <v>679.5</v>
      </c>
      <c r="N135" s="94"/>
      <c r="O135" s="85"/>
      <c r="P135" s="65"/>
      <c r="Q135" s="252"/>
      <c r="R135" s="252"/>
      <c r="S135" s="443">
        <f>543.34</f>
        <v>543.34</v>
      </c>
      <c r="T135" s="94"/>
    </row>
    <row r="136" spans="1:21" x14ac:dyDescent="0.3">
      <c r="A136" s="177"/>
      <c r="B136" s="175" t="s">
        <v>147</v>
      </c>
      <c r="C136" s="60"/>
      <c r="D136" s="65"/>
      <c r="E136" s="83"/>
      <c r="F136" s="83"/>
      <c r="G136" s="119">
        <v>1700</v>
      </c>
      <c r="H136" s="94"/>
      <c r="I136" s="85"/>
      <c r="J136" s="65"/>
      <c r="K136" s="309"/>
      <c r="L136" s="309"/>
      <c r="M136" s="443">
        <f>+Beverage!H53</f>
        <v>1700</v>
      </c>
      <c r="N136" s="94"/>
      <c r="O136" s="85"/>
      <c r="P136" s="65"/>
      <c r="Q136" s="252"/>
      <c r="R136" s="252"/>
      <c r="S136" s="443">
        <f>+Beverage!J53</f>
        <v>1115.4099999999999</v>
      </c>
      <c r="T136" s="94"/>
    </row>
    <row r="137" spans="1:21" ht="15.9" customHeight="1" thickBot="1" x14ac:dyDescent="0.35">
      <c r="A137" s="181"/>
      <c r="B137" s="68"/>
      <c r="C137" s="69" t="s">
        <v>111</v>
      </c>
      <c r="D137" s="239" t="s">
        <v>152</v>
      </c>
      <c r="E137" s="74"/>
      <c r="F137" s="74"/>
      <c r="G137" s="108"/>
      <c r="H137" s="96"/>
      <c r="I137" s="85"/>
      <c r="J137" s="239" t="s">
        <v>152</v>
      </c>
      <c r="K137" s="74"/>
      <c r="L137" s="74"/>
      <c r="M137" s="438"/>
      <c r="N137" s="96"/>
      <c r="O137" s="85"/>
      <c r="P137" s="73"/>
      <c r="Q137" s="74"/>
      <c r="R137" s="74"/>
      <c r="S137" s="421"/>
      <c r="T137" s="96">
        <f>+T130/('Attendance, Revenue'!E53+'Attendance, Revenue'!E54)</f>
        <v>39.001797235023041</v>
      </c>
    </row>
    <row r="138" spans="1:21" ht="15" thickBot="1" x14ac:dyDescent="0.35">
      <c r="A138" s="211" t="s">
        <v>49</v>
      </c>
      <c r="B138" s="212"/>
      <c r="C138" s="213"/>
      <c r="D138" s="244">
        <f>SUM(D8:D137)</f>
        <v>30564.28</v>
      </c>
      <c r="E138" s="245"/>
      <c r="F138" s="245">
        <f>H138-D138</f>
        <v>145669.96249999999</v>
      </c>
      <c r="G138" s="214"/>
      <c r="H138" s="215">
        <f>+H7+H15+H18+H59+H122+H130+H23+H40</f>
        <v>176234.24249999999</v>
      </c>
      <c r="I138" s="403"/>
      <c r="J138" s="244">
        <f>SUM(J8:J137)</f>
        <v>30164.28</v>
      </c>
      <c r="K138" s="245"/>
      <c r="L138" s="245">
        <f>N138-J138</f>
        <v>183186.51749999999</v>
      </c>
      <c r="M138" s="456"/>
      <c r="N138" s="215">
        <f>+N7+N15+N18+N59+N122+N130+N23+N40</f>
        <v>213350.79749999999</v>
      </c>
      <c r="O138" s="403"/>
      <c r="P138" s="244">
        <f>SUM(P8:P137)</f>
        <v>32007.019999999997</v>
      </c>
      <c r="Q138" s="245"/>
      <c r="R138" s="245">
        <f>T138-P138</f>
        <v>181889.80750000002</v>
      </c>
      <c r="S138" s="435"/>
      <c r="T138" s="215">
        <f>+T7+T15+T18+T59+T122+T130+T23+T40</f>
        <v>213896.82750000001</v>
      </c>
    </row>
    <row r="141" spans="1:21" x14ac:dyDescent="0.3">
      <c r="U141" s="82"/>
    </row>
    <row r="142" spans="1:21" x14ac:dyDescent="0.3">
      <c r="U142" s="247"/>
    </row>
    <row r="143" spans="1:21" x14ac:dyDescent="0.3">
      <c r="N143"/>
      <c r="O143" s="26"/>
    </row>
    <row r="144" spans="1:21" x14ac:dyDescent="0.3">
      <c r="N144"/>
      <c r="O144" s="26"/>
    </row>
    <row r="145" spans="14:15" x14ac:dyDescent="0.3">
      <c r="N145"/>
      <c r="O145" s="26"/>
    </row>
    <row r="146" spans="14:15" x14ac:dyDescent="0.3">
      <c r="N146"/>
      <c r="O146" s="26"/>
    </row>
    <row r="147" spans="14:15" x14ac:dyDescent="0.3">
      <c r="N147"/>
      <c r="O147" s="26"/>
    </row>
    <row r="148" spans="14:15" x14ac:dyDescent="0.3">
      <c r="N148"/>
      <c r="O148" s="26"/>
    </row>
    <row r="149" spans="14:15" x14ac:dyDescent="0.3">
      <c r="N149"/>
      <c r="O149" s="26"/>
    </row>
    <row r="150" spans="14:15" x14ac:dyDescent="0.3">
      <c r="N150"/>
      <c r="O150" s="26"/>
    </row>
    <row r="151" spans="14:15" x14ac:dyDescent="0.3">
      <c r="N151"/>
      <c r="O151" s="26"/>
    </row>
    <row r="152" spans="14:15" x14ac:dyDescent="0.3">
      <c r="N152"/>
      <c r="O152" s="26"/>
    </row>
    <row r="153" spans="14:15" x14ac:dyDescent="0.3">
      <c r="N153"/>
      <c r="O153" s="26"/>
    </row>
    <row r="154" spans="14:15" x14ac:dyDescent="0.3">
      <c r="N154"/>
      <c r="O154" s="26"/>
    </row>
    <row r="155" spans="14:15" x14ac:dyDescent="0.3">
      <c r="N155"/>
      <c r="O155" s="26"/>
    </row>
    <row r="156" spans="14:15" x14ac:dyDescent="0.3">
      <c r="N156"/>
      <c r="O156" s="26"/>
    </row>
    <row r="157" spans="14:15" x14ac:dyDescent="0.3">
      <c r="N157"/>
      <c r="O157" s="26"/>
    </row>
    <row r="158" spans="14:15" x14ac:dyDescent="0.3">
      <c r="N158"/>
      <c r="O158" s="26"/>
    </row>
    <row r="159" spans="14:15" x14ac:dyDescent="0.3">
      <c r="N159"/>
      <c r="O159" s="26"/>
    </row>
    <row r="160" spans="14:15" x14ac:dyDescent="0.3">
      <c r="N160"/>
      <c r="O160" s="26"/>
    </row>
    <row r="161" spans="14:15" x14ac:dyDescent="0.3">
      <c r="N161"/>
      <c r="O161" s="26"/>
    </row>
    <row r="162" spans="14:15" x14ac:dyDescent="0.3">
      <c r="N162"/>
      <c r="O162" s="26"/>
    </row>
    <row r="163" spans="14:15" x14ac:dyDescent="0.3">
      <c r="N163"/>
      <c r="O163" s="26"/>
    </row>
    <row r="164" spans="14:15" x14ac:dyDescent="0.3">
      <c r="N164"/>
      <c r="O164" s="26"/>
    </row>
  </sheetData>
  <mergeCells count="6">
    <mergeCell ref="P3:T3"/>
    <mergeCell ref="Q5:R5"/>
    <mergeCell ref="D3:H3"/>
    <mergeCell ref="J3:N3"/>
    <mergeCell ref="E5:F5"/>
    <mergeCell ref="K5:L5"/>
  </mergeCells>
  <phoneticPr fontId="24" type="noConversion"/>
  <printOptions horizontalCentered="1"/>
  <pageMargins left="0" right="0" top="0" bottom="0" header="0.3" footer="0.3"/>
  <pageSetup orientation="portrait" horizontalDpi="4294967292" verticalDpi="4294967292" r:id="rId1"/>
  <rowBreaks count="1" manualBreakCount="1">
    <brk id="5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Z71"/>
  <sheetViews>
    <sheetView topLeftCell="A51" workbookViewId="0">
      <selection activeCell="J65" sqref="J65"/>
    </sheetView>
  </sheetViews>
  <sheetFormatPr defaultColWidth="12.44140625" defaultRowHeight="14.4" x14ac:dyDescent="0.3"/>
  <cols>
    <col min="3" max="3" width="18.6640625" bestFit="1" customWidth="1"/>
    <col min="5" max="5" width="8.88671875" customWidth="1"/>
    <col min="6" max="6" width="11.33203125" style="325" customWidth="1"/>
    <col min="7" max="7" width="9.6640625" style="326" customWidth="1"/>
    <col min="8" max="8" width="11.33203125" style="327" customWidth="1"/>
    <col min="9" max="9" width="3.109375" customWidth="1"/>
    <col min="10" max="10" width="39.21875" bestFit="1" customWidth="1"/>
    <col min="11" max="11" width="7.21875" customWidth="1"/>
    <col min="12" max="12" width="12.44140625" style="330"/>
    <col min="13" max="13" width="2.5546875" customWidth="1"/>
    <col min="14" max="14" width="60.88671875" bestFit="1" customWidth="1"/>
    <col min="15" max="15" width="7.21875" style="341" customWidth="1"/>
    <col min="16" max="16" width="12.44140625" style="330"/>
    <col min="17" max="17" width="2.21875" customWidth="1"/>
    <col min="19" max="19" width="10.88671875" bestFit="1" customWidth="1"/>
    <col min="20" max="20" width="14.77734375" style="330" bestFit="1" customWidth="1"/>
    <col min="21" max="21" width="3.109375" customWidth="1"/>
    <col min="22" max="22" width="23.88671875" bestFit="1" customWidth="1"/>
    <col min="24" max="24" width="12.44140625" style="330"/>
  </cols>
  <sheetData>
    <row r="1" spans="1:26" x14ac:dyDescent="0.3">
      <c r="I1" s="328"/>
      <c r="J1" t="s">
        <v>188</v>
      </c>
      <c r="K1" s="329">
        <v>60</v>
      </c>
      <c r="O1" s="331">
        <v>50</v>
      </c>
      <c r="S1" s="329">
        <v>60</v>
      </c>
      <c r="W1" s="329">
        <v>100</v>
      </c>
    </row>
    <row r="2" spans="1:26" s="332" customFormat="1" ht="31.2" x14ac:dyDescent="0.3">
      <c r="A2" s="332" t="s">
        <v>157</v>
      </c>
      <c r="B2" s="332" t="s">
        <v>189</v>
      </c>
      <c r="C2" s="332" t="s">
        <v>190</v>
      </c>
      <c r="E2" s="333" t="s">
        <v>191</v>
      </c>
      <c r="F2" s="334" t="s">
        <v>192</v>
      </c>
      <c r="G2" s="334" t="s">
        <v>193</v>
      </c>
      <c r="H2" s="335" t="s">
        <v>194</v>
      </c>
      <c r="I2" s="336"/>
      <c r="J2" s="332" t="s">
        <v>76</v>
      </c>
      <c r="K2" s="332" t="s">
        <v>195</v>
      </c>
      <c r="L2" s="337" t="s">
        <v>196</v>
      </c>
      <c r="N2" s="332" t="s">
        <v>43</v>
      </c>
      <c r="O2" s="338" t="s">
        <v>197</v>
      </c>
      <c r="P2" s="337" t="s">
        <v>198</v>
      </c>
      <c r="R2" s="332" t="s">
        <v>199</v>
      </c>
      <c r="S2" s="332" t="s">
        <v>200</v>
      </c>
      <c r="T2" s="337" t="s">
        <v>198</v>
      </c>
      <c r="V2" s="332" t="s">
        <v>78</v>
      </c>
      <c r="W2" s="332" t="s">
        <v>195</v>
      </c>
      <c r="X2" s="337" t="s">
        <v>198</v>
      </c>
      <c r="Z2" s="332" t="s">
        <v>201</v>
      </c>
    </row>
    <row r="3" spans="1:26" x14ac:dyDescent="0.3">
      <c r="A3" s="382">
        <f>+'Expense Detail'!L63</f>
        <v>325</v>
      </c>
      <c r="B3">
        <v>2.5</v>
      </c>
      <c r="C3" t="s">
        <v>202</v>
      </c>
      <c r="D3" t="s">
        <v>76</v>
      </c>
      <c r="E3" s="329">
        <v>2</v>
      </c>
      <c r="F3" s="339">
        <v>0.5</v>
      </c>
      <c r="G3" s="340">
        <f>A3*E3*F3</f>
        <v>325</v>
      </c>
      <c r="H3" s="327">
        <f>(K3*L3*12)+(K4*L4*12)</f>
        <v>845</v>
      </c>
      <c r="I3" s="328"/>
      <c r="J3" t="s">
        <v>203</v>
      </c>
      <c r="K3" s="341">
        <f>G3/K$1/2</f>
        <v>2.7083333333333335</v>
      </c>
      <c r="L3" s="342">
        <v>12</v>
      </c>
      <c r="N3" t="s">
        <v>204</v>
      </c>
      <c r="O3" s="341">
        <f>G4/O$1/3</f>
        <v>2.1666666666666665</v>
      </c>
      <c r="P3" s="342">
        <v>100</v>
      </c>
      <c r="R3" t="s">
        <v>205</v>
      </c>
      <c r="S3" s="341">
        <f>G5/S$1/2</f>
        <v>1.7875000000000001</v>
      </c>
      <c r="T3" s="342">
        <v>10</v>
      </c>
      <c r="V3" t="s">
        <v>206</v>
      </c>
      <c r="W3" s="341"/>
    </row>
    <row r="4" spans="1:26" x14ac:dyDescent="0.3">
      <c r="D4" t="s">
        <v>43</v>
      </c>
      <c r="E4" s="329">
        <v>2</v>
      </c>
      <c r="F4" s="339">
        <v>0.5</v>
      </c>
      <c r="G4" s="340">
        <f>A3*E4*F4</f>
        <v>325</v>
      </c>
      <c r="H4" s="327">
        <f>(O3*P3)+(O4*P4)+(O5*P5)</f>
        <v>650</v>
      </c>
      <c r="I4" s="328"/>
      <c r="J4" t="s">
        <v>207</v>
      </c>
      <c r="K4" s="341">
        <f>G3/K$1/2</f>
        <v>2.7083333333333335</v>
      </c>
      <c r="L4" s="342">
        <v>14</v>
      </c>
      <c r="N4" t="s">
        <v>208</v>
      </c>
      <c r="O4" s="341">
        <f>G4/O$1/3</f>
        <v>2.1666666666666665</v>
      </c>
      <c r="P4" s="342">
        <v>100</v>
      </c>
      <c r="R4" t="s">
        <v>209</v>
      </c>
      <c r="S4" s="341">
        <f>G5/S$1/2</f>
        <v>1.7875000000000001</v>
      </c>
      <c r="T4" s="342">
        <v>10</v>
      </c>
      <c r="V4" t="s">
        <v>210</v>
      </c>
      <c r="W4" s="343">
        <f>G6/W$1</f>
        <v>2.4375</v>
      </c>
      <c r="X4" s="342">
        <v>30</v>
      </c>
    </row>
    <row r="5" spans="1:26" x14ac:dyDescent="0.3">
      <c r="D5" t="s">
        <v>199</v>
      </c>
      <c r="E5" s="329">
        <v>2</v>
      </c>
      <c r="F5" s="339">
        <v>0.33</v>
      </c>
      <c r="G5" s="340">
        <f>A3*E5*F5</f>
        <v>214.5</v>
      </c>
      <c r="H5" s="327">
        <f>(S3*T3)+(S4*T4)+(S5*T5)</f>
        <v>35.75</v>
      </c>
      <c r="I5" s="328"/>
      <c r="K5" s="341"/>
      <c r="N5" t="s">
        <v>211</v>
      </c>
      <c r="O5" s="341">
        <f>G4/O$1/3</f>
        <v>2.1666666666666665</v>
      </c>
      <c r="P5" s="342">
        <v>100</v>
      </c>
    </row>
    <row r="6" spans="1:26" x14ac:dyDescent="0.3">
      <c r="D6" t="s">
        <v>78</v>
      </c>
      <c r="E6" s="329">
        <v>1</v>
      </c>
      <c r="F6" s="339">
        <v>0.75</v>
      </c>
      <c r="G6" s="340">
        <f>A3*E6*F6</f>
        <v>243.75</v>
      </c>
      <c r="H6" s="327">
        <f>(W3*X3)+(W4*X4)+(W5*X5)</f>
        <v>73.125</v>
      </c>
      <c r="I6" s="328"/>
      <c r="K6" s="341"/>
    </row>
    <row r="7" spans="1:26" x14ac:dyDescent="0.3">
      <c r="D7" t="s">
        <v>134</v>
      </c>
      <c r="E7" s="329"/>
      <c r="F7" s="339"/>
      <c r="G7" s="340">
        <f>A3*E7*F7</f>
        <v>0</v>
      </c>
      <c r="I7" s="328"/>
      <c r="K7" s="341"/>
    </row>
    <row r="8" spans="1:26" x14ac:dyDescent="0.3">
      <c r="I8" s="328"/>
      <c r="K8" s="341"/>
    </row>
    <row r="9" spans="1:26" x14ac:dyDescent="0.3">
      <c r="A9" s="382">
        <f>+'Expense Detail'!L77</f>
        <v>400</v>
      </c>
      <c r="B9">
        <v>1</v>
      </c>
      <c r="C9" t="s">
        <v>212</v>
      </c>
      <c r="D9" t="s">
        <v>76</v>
      </c>
      <c r="E9" s="329">
        <v>2</v>
      </c>
      <c r="F9" s="339">
        <v>0.5</v>
      </c>
      <c r="G9" s="340">
        <f>A9*E9*F9</f>
        <v>400</v>
      </c>
      <c r="H9" s="327">
        <f>(K9*L9*12)+(K10*L10*12)</f>
        <v>1000</v>
      </c>
      <c r="I9" s="328"/>
      <c r="J9" t="s">
        <v>213</v>
      </c>
      <c r="K9" s="341">
        <f>G9/K$1/2</f>
        <v>3.3333333333333335</v>
      </c>
      <c r="L9" s="342">
        <v>13</v>
      </c>
      <c r="N9" t="s">
        <v>214</v>
      </c>
      <c r="O9" s="341">
        <f>G10/O$1/3</f>
        <v>2.6666666666666665</v>
      </c>
      <c r="P9" s="342">
        <v>100</v>
      </c>
      <c r="R9" t="s">
        <v>205</v>
      </c>
      <c r="S9" s="341">
        <f>G11/S$1/2</f>
        <v>2.2000000000000002</v>
      </c>
      <c r="T9" s="342">
        <v>10</v>
      </c>
      <c r="V9" t="s">
        <v>206</v>
      </c>
      <c r="W9" s="341"/>
    </row>
    <row r="10" spans="1:26" x14ac:dyDescent="0.3">
      <c r="D10" t="s">
        <v>43</v>
      </c>
      <c r="E10" s="329">
        <v>2</v>
      </c>
      <c r="F10" s="339">
        <v>0.5</v>
      </c>
      <c r="G10" s="340">
        <f>A9*E10*F10</f>
        <v>400</v>
      </c>
      <c r="H10" s="327">
        <f>(O9*P9)+(O10*P10)+(O11*P11)</f>
        <v>799.99999999999989</v>
      </c>
      <c r="I10" s="328"/>
      <c r="J10" t="s">
        <v>215</v>
      </c>
      <c r="K10" s="341">
        <f>G9/K$1/2</f>
        <v>3.3333333333333335</v>
      </c>
      <c r="L10" s="342">
        <v>12</v>
      </c>
      <c r="N10" t="s">
        <v>216</v>
      </c>
      <c r="O10" s="341">
        <f>G10/O$1/3</f>
        <v>2.6666666666666665</v>
      </c>
      <c r="P10" s="342">
        <v>100</v>
      </c>
      <c r="R10" t="s">
        <v>217</v>
      </c>
      <c r="S10" s="341">
        <f>G11/S$1/2</f>
        <v>2.2000000000000002</v>
      </c>
      <c r="T10" s="342">
        <v>10</v>
      </c>
      <c r="V10" t="s">
        <v>210</v>
      </c>
      <c r="W10" s="343">
        <f>G12/W$1</f>
        <v>3</v>
      </c>
      <c r="X10" s="342">
        <v>30</v>
      </c>
    </row>
    <row r="11" spans="1:26" x14ac:dyDescent="0.3">
      <c r="D11" t="s">
        <v>199</v>
      </c>
      <c r="E11" s="329">
        <v>2</v>
      </c>
      <c r="F11" s="339">
        <v>0.33</v>
      </c>
      <c r="G11" s="340">
        <f>A9*E11*F11</f>
        <v>264</v>
      </c>
      <c r="H11" s="327">
        <f>(S9*T9)+(S10*T10)+(S11*T11)</f>
        <v>44</v>
      </c>
      <c r="I11" s="328"/>
      <c r="K11" s="341"/>
      <c r="N11" t="s">
        <v>211</v>
      </c>
      <c r="O11" s="341">
        <f>G10/O$1/3</f>
        <v>2.6666666666666665</v>
      </c>
      <c r="P11" s="342">
        <v>100</v>
      </c>
      <c r="V11" t="s">
        <v>218</v>
      </c>
    </row>
    <row r="12" spans="1:26" x14ac:dyDescent="0.3">
      <c r="D12" t="s">
        <v>78</v>
      </c>
      <c r="E12" s="329">
        <v>1</v>
      </c>
      <c r="F12" s="339">
        <v>0.75</v>
      </c>
      <c r="G12" s="340">
        <f>A9*E12*F12</f>
        <v>300</v>
      </c>
      <c r="H12" s="327">
        <f>(W9*X9)+(W10*X10)+(W11*X11)</f>
        <v>90</v>
      </c>
      <c r="I12" s="328"/>
      <c r="K12" s="341"/>
    </row>
    <row r="13" spans="1:26" x14ac:dyDescent="0.3">
      <c r="D13" t="s">
        <v>134</v>
      </c>
      <c r="E13" s="329"/>
      <c r="F13" s="339"/>
      <c r="G13" s="340">
        <f>A9*E13*F13</f>
        <v>0</v>
      </c>
      <c r="I13" s="328"/>
      <c r="K13" s="341"/>
    </row>
    <row r="14" spans="1:26" x14ac:dyDescent="0.3">
      <c r="E14" s="5"/>
      <c r="F14" s="344"/>
      <c r="G14" s="340"/>
      <c r="I14" s="328"/>
      <c r="K14" s="341"/>
    </row>
    <row r="15" spans="1:26" x14ac:dyDescent="0.3">
      <c r="A15">
        <v>75</v>
      </c>
      <c r="B15">
        <v>2</v>
      </c>
      <c r="C15" t="s">
        <v>219</v>
      </c>
      <c r="D15" t="s">
        <v>43</v>
      </c>
      <c r="E15" s="329">
        <v>4</v>
      </c>
      <c r="F15" s="339">
        <v>1</v>
      </c>
      <c r="G15" s="340">
        <f>A15*E15*F15</f>
        <v>300</v>
      </c>
      <c r="H15" s="327">
        <f>(O15*P15)+(O16*P16)+(O17*P17)+(O18*P18)+(O19*P19)</f>
        <v>500</v>
      </c>
      <c r="I15" s="328"/>
      <c r="K15" s="341"/>
      <c r="N15" t="s">
        <v>220</v>
      </c>
      <c r="O15" s="341">
        <v>1</v>
      </c>
      <c r="P15" s="330">
        <v>100</v>
      </c>
    </row>
    <row r="16" spans="1:26" x14ac:dyDescent="0.3">
      <c r="E16" s="329"/>
      <c r="F16" s="339"/>
      <c r="G16" s="340"/>
      <c r="I16" s="328"/>
      <c r="K16" s="341"/>
      <c r="N16" t="s">
        <v>221</v>
      </c>
      <c r="O16" s="341">
        <v>1</v>
      </c>
      <c r="P16" s="330">
        <v>100</v>
      </c>
    </row>
    <row r="17" spans="1:24" x14ac:dyDescent="0.3">
      <c r="E17" s="329"/>
      <c r="F17" s="339"/>
      <c r="G17" s="340"/>
      <c r="I17" s="328"/>
      <c r="K17" s="341"/>
      <c r="N17" t="s">
        <v>222</v>
      </c>
      <c r="O17" s="341">
        <v>1</v>
      </c>
      <c r="P17" s="330">
        <v>100</v>
      </c>
    </row>
    <row r="18" spans="1:24" x14ac:dyDescent="0.3">
      <c r="E18" s="329"/>
      <c r="F18" s="339"/>
      <c r="G18" s="340"/>
      <c r="I18" s="328"/>
      <c r="K18" s="341"/>
      <c r="N18" t="s">
        <v>223</v>
      </c>
      <c r="O18" s="341">
        <v>1</v>
      </c>
      <c r="P18" s="330">
        <v>100</v>
      </c>
    </row>
    <row r="19" spans="1:24" x14ac:dyDescent="0.3">
      <c r="E19" s="329"/>
      <c r="F19" s="339"/>
      <c r="G19" s="340"/>
      <c r="I19" s="328"/>
      <c r="K19" s="341"/>
      <c r="N19" t="s">
        <v>224</v>
      </c>
      <c r="O19" s="341">
        <v>1</v>
      </c>
      <c r="P19" s="330">
        <v>100</v>
      </c>
    </row>
    <row r="20" spans="1:24" x14ac:dyDescent="0.3">
      <c r="I20" s="328"/>
      <c r="K20" s="341"/>
    </row>
    <row r="21" spans="1:24" x14ac:dyDescent="0.3">
      <c r="A21" s="382">
        <f>+'Expense Detail'!L84</f>
        <v>475</v>
      </c>
      <c r="B21">
        <v>3</v>
      </c>
      <c r="C21" t="s">
        <v>225</v>
      </c>
      <c r="D21" t="s">
        <v>76</v>
      </c>
      <c r="E21" s="329">
        <v>3</v>
      </c>
      <c r="F21" s="339">
        <v>0.5</v>
      </c>
      <c r="G21" s="340">
        <f>A21*E21*F21</f>
        <v>712.5</v>
      </c>
      <c r="H21" s="327">
        <f>(K21*L21*12)+(K22*L22*12)</f>
        <v>2992.5</v>
      </c>
      <c r="I21" s="328"/>
      <c r="J21" t="s">
        <v>226</v>
      </c>
      <c r="K21" s="341">
        <f>G21/K$1/2</f>
        <v>5.9375</v>
      </c>
      <c r="L21" s="342">
        <v>20</v>
      </c>
      <c r="N21" t="s">
        <v>227</v>
      </c>
      <c r="O21" s="341">
        <f>G22/O$1/3</f>
        <v>4.75</v>
      </c>
      <c r="P21" s="342">
        <v>100</v>
      </c>
      <c r="R21" t="s">
        <v>205</v>
      </c>
      <c r="S21" s="341">
        <f>G23/S$1/2</f>
        <v>2.6124999999999998</v>
      </c>
      <c r="T21" s="342">
        <v>10</v>
      </c>
      <c r="V21" t="s">
        <v>206</v>
      </c>
      <c r="W21" s="341"/>
    </row>
    <row r="22" spans="1:24" x14ac:dyDescent="0.3">
      <c r="D22" t="s">
        <v>43</v>
      </c>
      <c r="E22" s="329">
        <v>3</v>
      </c>
      <c r="F22" s="339">
        <v>0.5</v>
      </c>
      <c r="G22" s="340">
        <f>A21*E22*F22</f>
        <v>712.5</v>
      </c>
      <c r="H22" s="327">
        <f>(O21*P21)+(O22*P22)+(O23*P23)</f>
        <v>1425</v>
      </c>
      <c r="I22" s="328"/>
      <c r="J22" t="s">
        <v>228</v>
      </c>
      <c r="K22" s="341">
        <f>G21/K$1/2</f>
        <v>5.9375</v>
      </c>
      <c r="L22" s="342">
        <v>22</v>
      </c>
      <c r="N22" t="s">
        <v>229</v>
      </c>
      <c r="O22" s="341">
        <f>G22/O$1/3</f>
        <v>4.75</v>
      </c>
      <c r="P22" s="342">
        <v>100</v>
      </c>
      <c r="R22" t="s">
        <v>217</v>
      </c>
      <c r="S22" s="341">
        <f>G23/S$1/2</f>
        <v>2.6124999999999998</v>
      </c>
      <c r="T22" s="342">
        <v>10</v>
      </c>
      <c r="V22" t="s">
        <v>210</v>
      </c>
      <c r="W22" s="343">
        <f>G24/W$1</f>
        <v>3.5625</v>
      </c>
      <c r="X22" s="342">
        <v>30</v>
      </c>
    </row>
    <row r="23" spans="1:24" x14ac:dyDescent="0.3">
      <c r="D23" t="s">
        <v>199</v>
      </c>
      <c r="E23" s="329">
        <v>2</v>
      </c>
      <c r="F23" s="339">
        <v>0.33</v>
      </c>
      <c r="G23" s="340">
        <f>A21*E23*F23</f>
        <v>313.5</v>
      </c>
      <c r="H23" s="327">
        <f>(S21*T21)+(S22*T22)+(S23*T23)</f>
        <v>52.25</v>
      </c>
      <c r="I23" s="328"/>
      <c r="K23" s="341"/>
      <c r="N23" t="s">
        <v>211</v>
      </c>
      <c r="O23" s="341">
        <f>G22/O$1/3</f>
        <v>4.75</v>
      </c>
      <c r="P23" s="342">
        <v>100</v>
      </c>
    </row>
    <row r="24" spans="1:24" x14ac:dyDescent="0.3">
      <c r="D24" t="s">
        <v>78</v>
      </c>
      <c r="E24" s="329">
        <v>1</v>
      </c>
      <c r="F24" s="339">
        <v>0.75</v>
      </c>
      <c r="G24" s="340">
        <f>A21*E24*F24</f>
        <v>356.25</v>
      </c>
      <c r="H24" s="327">
        <f>(W21*X21)+(W22*X22)+(W23*X23)</f>
        <v>106.875</v>
      </c>
      <c r="I24" s="328"/>
      <c r="K24" s="341"/>
    </row>
    <row r="25" spans="1:24" x14ac:dyDescent="0.3">
      <c r="D25" t="s">
        <v>134</v>
      </c>
      <c r="E25" s="329"/>
      <c r="F25" s="339"/>
      <c r="G25" s="340">
        <f>A21*E25*F25</f>
        <v>0</v>
      </c>
      <c r="I25" s="328"/>
      <c r="K25" s="341"/>
    </row>
    <row r="26" spans="1:24" x14ac:dyDescent="0.3">
      <c r="I26" s="328"/>
      <c r="K26" s="341"/>
    </row>
    <row r="27" spans="1:24" x14ac:dyDescent="0.3">
      <c r="A27" s="382">
        <f>+'Expense Detail'!L99</f>
        <v>479</v>
      </c>
      <c r="B27">
        <v>1.5</v>
      </c>
      <c r="C27" t="s">
        <v>230</v>
      </c>
      <c r="D27" t="s">
        <v>76</v>
      </c>
      <c r="E27" s="329">
        <v>2</v>
      </c>
      <c r="F27" s="339">
        <v>0.5</v>
      </c>
      <c r="G27" s="340">
        <f>A27*E27*F27</f>
        <v>479</v>
      </c>
      <c r="H27" s="327">
        <f>(K27*L27*12)+(K28*L28*12)</f>
        <v>910.09999999999991</v>
      </c>
      <c r="I27" s="328"/>
      <c r="J27" t="s">
        <v>231</v>
      </c>
      <c r="K27" s="341">
        <f>G27/K$1/2</f>
        <v>3.9916666666666667</v>
      </c>
      <c r="L27" s="342">
        <v>10</v>
      </c>
      <c r="N27" t="s">
        <v>232</v>
      </c>
      <c r="O27" s="341">
        <f>G28/O$1/3</f>
        <v>3.1933333333333334</v>
      </c>
      <c r="P27" s="342">
        <v>100</v>
      </c>
      <c r="R27" t="s">
        <v>205</v>
      </c>
      <c r="S27" s="341">
        <f>G29/S$1/2</f>
        <v>2.6345000000000005</v>
      </c>
      <c r="T27" s="342">
        <v>10</v>
      </c>
      <c r="V27" t="s">
        <v>206</v>
      </c>
      <c r="W27" s="341"/>
    </row>
    <row r="28" spans="1:24" x14ac:dyDescent="0.3">
      <c r="D28" t="s">
        <v>43</v>
      </c>
      <c r="E28" s="329">
        <v>2</v>
      </c>
      <c r="F28" s="339">
        <v>0.5</v>
      </c>
      <c r="G28" s="340">
        <f>A27*E28*F28</f>
        <v>479</v>
      </c>
      <c r="H28" s="327">
        <f>(O27*P27)+(O28*P28)+(O29*P29)</f>
        <v>958</v>
      </c>
      <c r="I28" s="328"/>
      <c r="J28" t="s">
        <v>233</v>
      </c>
      <c r="K28" s="341">
        <f>G27/K$1/2</f>
        <v>3.9916666666666667</v>
      </c>
      <c r="L28" s="342">
        <v>9</v>
      </c>
      <c r="N28" t="s">
        <v>234</v>
      </c>
      <c r="O28" s="341">
        <f>G28/O$1/3</f>
        <v>3.1933333333333334</v>
      </c>
      <c r="P28" s="342">
        <v>100</v>
      </c>
      <c r="R28" t="s">
        <v>217</v>
      </c>
      <c r="S28" s="341">
        <f>G29/S$1/2</f>
        <v>2.6345000000000005</v>
      </c>
      <c r="T28" s="342">
        <v>10</v>
      </c>
      <c r="V28" t="s">
        <v>210</v>
      </c>
      <c r="W28" s="343">
        <f>G30/W$1</f>
        <v>3.5924999999999998</v>
      </c>
      <c r="X28" s="342">
        <v>30</v>
      </c>
    </row>
    <row r="29" spans="1:24" x14ac:dyDescent="0.3">
      <c r="D29" t="s">
        <v>199</v>
      </c>
      <c r="E29" s="329">
        <v>2</v>
      </c>
      <c r="F29" s="339">
        <v>0.33</v>
      </c>
      <c r="G29" s="340">
        <f>A27*E29*F29</f>
        <v>316.14000000000004</v>
      </c>
      <c r="H29" s="327">
        <f>(S27*T27)+(S28*T28)+(S29*T29)</f>
        <v>52.690000000000012</v>
      </c>
      <c r="I29" s="328"/>
      <c r="K29" s="341"/>
      <c r="N29" t="s">
        <v>211</v>
      </c>
      <c r="O29" s="341">
        <f>G28/O$1/3</f>
        <v>3.1933333333333334</v>
      </c>
      <c r="P29" s="342">
        <v>100</v>
      </c>
      <c r="V29" t="s">
        <v>218</v>
      </c>
    </row>
    <row r="30" spans="1:24" x14ac:dyDescent="0.3">
      <c r="D30" t="s">
        <v>78</v>
      </c>
      <c r="E30" s="329">
        <v>1</v>
      </c>
      <c r="F30" s="339">
        <v>0.75</v>
      </c>
      <c r="G30" s="340">
        <f>A27*E30*F30</f>
        <v>359.25</v>
      </c>
      <c r="H30" s="327">
        <f>(W27*X27)+(W28*X28)+(W29*X29)</f>
        <v>107.77499999999999</v>
      </c>
      <c r="I30" s="328"/>
      <c r="K30" s="341"/>
    </row>
    <row r="31" spans="1:24" x14ac:dyDescent="0.3">
      <c r="D31" t="s">
        <v>134</v>
      </c>
      <c r="E31" s="329"/>
      <c r="F31" s="339"/>
      <c r="G31" s="340">
        <f>A27*E31*F31</f>
        <v>0</v>
      </c>
      <c r="I31" s="328"/>
    </row>
    <row r="32" spans="1:24" x14ac:dyDescent="0.3">
      <c r="I32" s="328"/>
    </row>
    <row r="33" spans="1:24" x14ac:dyDescent="0.3">
      <c r="A33" s="382">
        <f>+'Expense Detail'!L105</f>
        <v>417</v>
      </c>
      <c r="B33">
        <v>2.5</v>
      </c>
      <c r="C33" t="s">
        <v>235</v>
      </c>
      <c r="D33" t="s">
        <v>76</v>
      </c>
      <c r="E33" s="329">
        <v>3</v>
      </c>
      <c r="F33" s="339">
        <v>0.5</v>
      </c>
      <c r="G33" s="340">
        <f>A33*E33*F33</f>
        <v>625.5</v>
      </c>
      <c r="H33" s="327">
        <f>(K33*L33*12)+(K34*L34*12)</f>
        <v>2689.65</v>
      </c>
      <c r="I33" s="328"/>
      <c r="J33" t="s">
        <v>236</v>
      </c>
      <c r="K33" s="341">
        <f>G$33/K$1/2</f>
        <v>5.2125000000000004</v>
      </c>
      <c r="L33" s="342">
        <v>20</v>
      </c>
      <c r="N33" t="s">
        <v>237</v>
      </c>
      <c r="O33" s="341">
        <f>G34/O$1/3</f>
        <v>4.17</v>
      </c>
      <c r="P33" s="342">
        <v>100</v>
      </c>
      <c r="R33" t="s">
        <v>205</v>
      </c>
      <c r="S33" s="341">
        <f>G35/S$1/2</f>
        <v>2.2935000000000003</v>
      </c>
      <c r="T33" s="342">
        <v>10</v>
      </c>
      <c r="V33" t="s">
        <v>206</v>
      </c>
      <c r="W33" s="341"/>
    </row>
    <row r="34" spans="1:24" x14ac:dyDescent="0.3">
      <c r="D34" t="s">
        <v>43</v>
      </c>
      <c r="E34" s="329">
        <v>3</v>
      </c>
      <c r="F34" s="339">
        <v>0.5</v>
      </c>
      <c r="G34" s="340">
        <f>A33*E34*F34</f>
        <v>625.5</v>
      </c>
      <c r="H34" s="327">
        <f>(O33*P33)+(O34*P34)+(O35*P35)</f>
        <v>1251</v>
      </c>
      <c r="I34" s="328"/>
      <c r="J34" t="s">
        <v>238</v>
      </c>
      <c r="K34" s="341">
        <f>G$33/K$1/2</f>
        <v>5.2125000000000004</v>
      </c>
      <c r="L34" s="342">
        <v>23</v>
      </c>
      <c r="N34" t="s">
        <v>239</v>
      </c>
      <c r="O34" s="341">
        <f>G34/O$1/3</f>
        <v>4.17</v>
      </c>
      <c r="P34" s="342">
        <v>100</v>
      </c>
      <c r="R34" t="s">
        <v>217</v>
      </c>
      <c r="S34" s="341">
        <f>G35/S$1/2</f>
        <v>2.2935000000000003</v>
      </c>
      <c r="T34" s="342">
        <v>10</v>
      </c>
      <c r="V34" t="s">
        <v>210</v>
      </c>
      <c r="W34" s="343">
        <f>G36/W$1</f>
        <v>3.1274999999999999</v>
      </c>
      <c r="X34" s="342">
        <v>30</v>
      </c>
    </row>
    <row r="35" spans="1:24" x14ac:dyDescent="0.3">
      <c r="D35" t="s">
        <v>199</v>
      </c>
      <c r="E35" s="329">
        <v>2</v>
      </c>
      <c r="F35" s="339">
        <v>0.33</v>
      </c>
      <c r="G35" s="340">
        <f>A33*E35*F35</f>
        <v>275.22000000000003</v>
      </c>
      <c r="H35" s="327">
        <f>(S33*T33)+(S34*T34)+(S35*T35)</f>
        <v>45.870000000000005</v>
      </c>
      <c r="I35" s="328"/>
      <c r="N35" t="s">
        <v>211</v>
      </c>
      <c r="O35" s="341">
        <f>G34/O$1/3</f>
        <v>4.17</v>
      </c>
      <c r="P35" s="342">
        <v>100</v>
      </c>
    </row>
    <row r="36" spans="1:24" x14ac:dyDescent="0.3">
      <c r="D36" t="s">
        <v>78</v>
      </c>
      <c r="E36" s="329">
        <v>1</v>
      </c>
      <c r="F36" s="339">
        <v>0.75</v>
      </c>
      <c r="G36" s="340">
        <f>A33*E36*F36</f>
        <v>312.75</v>
      </c>
      <c r="H36" s="327">
        <f>(W33*X33)+(W34*X34)+(W35*X35)</f>
        <v>93.825000000000003</v>
      </c>
      <c r="I36" s="328"/>
    </row>
    <row r="37" spans="1:24" x14ac:dyDescent="0.3">
      <c r="D37" t="s">
        <v>134</v>
      </c>
      <c r="E37" s="329"/>
      <c r="F37" s="339"/>
      <c r="G37" s="340">
        <f>A33*E37*F37</f>
        <v>0</v>
      </c>
      <c r="I37" s="328"/>
    </row>
    <row r="38" spans="1:24" x14ac:dyDescent="0.3">
      <c r="I38" s="328"/>
    </row>
    <row r="39" spans="1:24" x14ac:dyDescent="0.3">
      <c r="A39" s="382">
        <f>+'Expense Detail'!L114</f>
        <v>462</v>
      </c>
      <c r="B39">
        <v>2</v>
      </c>
      <c r="C39" t="s">
        <v>240</v>
      </c>
      <c r="D39" t="s">
        <v>76</v>
      </c>
      <c r="E39" s="329">
        <v>1</v>
      </c>
      <c r="F39" s="339">
        <v>0.2</v>
      </c>
      <c r="G39" s="340">
        <f>A39*E39*F39</f>
        <v>92.4</v>
      </c>
      <c r="H39" s="327">
        <f>(K39*L39*12)+(K40*L40*12)</f>
        <v>520</v>
      </c>
      <c r="I39" s="328"/>
      <c r="J39" t="s">
        <v>241</v>
      </c>
      <c r="K39" s="341">
        <f>G$3/K$1/2</f>
        <v>2.7083333333333335</v>
      </c>
      <c r="L39" s="342">
        <v>16</v>
      </c>
      <c r="N39" t="s">
        <v>242</v>
      </c>
      <c r="O39" s="341">
        <f>G40/O$1/3</f>
        <v>0.61599999999999999</v>
      </c>
      <c r="P39" s="342">
        <v>100</v>
      </c>
      <c r="R39" t="s">
        <v>205</v>
      </c>
      <c r="S39" s="341">
        <f>G41/S$1/2</f>
        <v>3.85</v>
      </c>
      <c r="T39" s="342">
        <v>10</v>
      </c>
      <c r="V39" t="s">
        <v>206</v>
      </c>
      <c r="W39" s="341"/>
    </row>
    <row r="40" spans="1:24" x14ac:dyDescent="0.3">
      <c r="D40" t="s">
        <v>43</v>
      </c>
      <c r="E40" s="329">
        <v>1</v>
      </c>
      <c r="F40" s="339">
        <v>0.2</v>
      </c>
      <c r="G40" s="340">
        <f>A39*E40*F40</f>
        <v>92.4</v>
      </c>
      <c r="H40" s="327">
        <f>(O39*P39)+(O40*P40)+(O41*P41)</f>
        <v>184.8</v>
      </c>
      <c r="I40" s="328"/>
      <c r="J40" t="s">
        <v>243</v>
      </c>
      <c r="K40" s="341"/>
      <c r="L40" s="342">
        <v>0</v>
      </c>
      <c r="N40" t="s">
        <v>244</v>
      </c>
      <c r="O40" s="341">
        <f>G40/O$1/3</f>
        <v>0.61599999999999999</v>
      </c>
      <c r="P40" s="342">
        <v>100</v>
      </c>
      <c r="R40" t="s">
        <v>217</v>
      </c>
      <c r="S40" s="341">
        <f>G41/S$1/2</f>
        <v>3.85</v>
      </c>
      <c r="T40" s="342">
        <v>10</v>
      </c>
      <c r="V40" t="s">
        <v>245</v>
      </c>
      <c r="W40" s="343">
        <f>G42/W$1</f>
        <v>6.93</v>
      </c>
      <c r="X40" s="342">
        <v>30</v>
      </c>
    </row>
    <row r="41" spans="1:24" x14ac:dyDescent="0.3">
      <c r="D41" t="s">
        <v>199</v>
      </c>
      <c r="E41" s="329">
        <v>2</v>
      </c>
      <c r="F41" s="339">
        <v>0.5</v>
      </c>
      <c r="G41" s="340">
        <f>A39*E41*F41</f>
        <v>462</v>
      </c>
      <c r="H41" s="327">
        <f>(S39*T39)+(S40*T40)+(S41*T41)</f>
        <v>77</v>
      </c>
      <c r="I41" s="328"/>
      <c r="O41" s="341">
        <f>G40/O$1/3</f>
        <v>0.61599999999999999</v>
      </c>
      <c r="P41" s="342">
        <v>100</v>
      </c>
      <c r="V41" t="s">
        <v>218</v>
      </c>
    </row>
    <row r="42" spans="1:24" x14ac:dyDescent="0.3">
      <c r="D42" t="s">
        <v>78</v>
      </c>
      <c r="E42" s="329">
        <v>2</v>
      </c>
      <c r="F42" s="339">
        <v>0.75</v>
      </c>
      <c r="G42" s="340">
        <f>A39*E42*F42</f>
        <v>693</v>
      </c>
      <c r="H42" s="327">
        <f>(W39*X39)+(W40*X40)+(W41*X41)</f>
        <v>207.89999999999998</v>
      </c>
      <c r="I42" s="328"/>
    </row>
    <row r="43" spans="1:24" x14ac:dyDescent="0.3">
      <c r="D43" t="s">
        <v>134</v>
      </c>
      <c r="E43" s="329"/>
      <c r="F43" s="339"/>
      <c r="G43" s="340">
        <f>A39*E43*F43</f>
        <v>0</v>
      </c>
      <c r="I43" s="328"/>
    </row>
    <row r="44" spans="1:24" ht="16.8" thickBot="1" x14ac:dyDescent="0.5">
      <c r="H44" s="461" t="s">
        <v>310</v>
      </c>
      <c r="I44" s="328"/>
      <c r="J44" s="461" t="s">
        <v>113</v>
      </c>
    </row>
    <row r="45" spans="1:24" x14ac:dyDescent="0.3">
      <c r="C45" s="345" t="s">
        <v>7</v>
      </c>
      <c r="D45" s="346" t="s">
        <v>76</v>
      </c>
      <c r="E45" s="346"/>
      <c r="F45" s="347"/>
      <c r="G45" s="348"/>
      <c r="H45" s="349">
        <f>H3+H9+H21+H27+H33+H39</f>
        <v>8957.25</v>
      </c>
      <c r="I45" s="328"/>
      <c r="J45" s="349">
        <v>8940.89</v>
      </c>
    </row>
    <row r="46" spans="1:24" ht="15" thickBot="1" x14ac:dyDescent="0.35">
      <c r="C46" s="350"/>
      <c r="D46" s="26" t="s">
        <v>43</v>
      </c>
      <c r="E46" s="26"/>
      <c r="F46" s="351"/>
      <c r="G46" s="352"/>
      <c r="H46" s="353">
        <f>H4+H10+H22+H28+H34+H40+H15</f>
        <v>5768.8</v>
      </c>
      <c r="I46" s="328"/>
      <c r="J46" s="353">
        <v>6327.14</v>
      </c>
    </row>
    <row r="47" spans="1:24" ht="15" thickBot="1" x14ac:dyDescent="0.35">
      <c r="C47" s="350"/>
      <c r="D47" s="26" t="s">
        <v>199</v>
      </c>
      <c r="E47" s="26"/>
      <c r="F47" s="351"/>
      <c r="G47" s="352"/>
      <c r="H47" s="349">
        <f>H5+H11+H23+H29+H35+H41</f>
        <v>307.56</v>
      </c>
      <c r="I47" s="328"/>
      <c r="J47" s="349">
        <f>J5+J11+J23+J29+J35+J41</f>
        <v>0</v>
      </c>
    </row>
    <row r="48" spans="1:24" x14ac:dyDescent="0.3">
      <c r="C48" s="350"/>
      <c r="D48" s="26" t="s">
        <v>78</v>
      </c>
      <c r="E48" s="26"/>
      <c r="F48" s="351"/>
      <c r="G48" s="352"/>
      <c r="H48" s="349">
        <f>H6+H12+H24+H30+H36+H42</f>
        <v>679.5</v>
      </c>
      <c r="I48" s="328"/>
      <c r="J48" s="349">
        <f>J6+J12+J24+J30+J36+J42</f>
        <v>0</v>
      </c>
    </row>
    <row r="49" spans="3:16" x14ac:dyDescent="0.3">
      <c r="C49" s="350"/>
      <c r="D49" s="26" t="s">
        <v>134</v>
      </c>
      <c r="E49" s="26"/>
      <c r="F49" s="351"/>
      <c r="G49" s="352"/>
      <c r="H49" s="353">
        <f>H7+H13+H25+H31+H37+H43</f>
        <v>0</v>
      </c>
      <c r="I49" s="328"/>
      <c r="J49" s="353">
        <f>J7+J13+J25+J31+J37+J43</f>
        <v>0</v>
      </c>
    </row>
    <row r="50" spans="3:16" x14ac:dyDescent="0.3">
      <c r="C50" s="350"/>
      <c r="D50" s="26"/>
      <c r="E50" s="26"/>
      <c r="F50" s="351"/>
      <c r="G50" s="352"/>
      <c r="H50" s="353"/>
      <c r="I50" s="328"/>
      <c r="J50" s="353"/>
    </row>
    <row r="51" spans="3:16" ht="16.2" thickBot="1" x14ac:dyDescent="0.35">
      <c r="C51" s="354"/>
      <c r="D51" s="355" t="s">
        <v>246</v>
      </c>
      <c r="E51" s="355"/>
      <c r="F51" s="356"/>
      <c r="G51" s="357"/>
      <c r="H51" s="358">
        <f>SUM(H45:H49)</f>
        <v>15713.109999999999</v>
      </c>
      <c r="I51" s="328"/>
      <c r="J51" s="358">
        <f>SUM(J45:J49)</f>
        <v>15268.029999999999</v>
      </c>
    </row>
    <row r="52" spans="3:16" ht="15" thickBot="1" x14ac:dyDescent="0.35">
      <c r="J52" s="327"/>
    </row>
    <row r="53" spans="3:16" ht="16.2" thickBot="1" x14ac:dyDescent="0.35">
      <c r="C53" s="359"/>
      <c r="D53" s="360" t="s">
        <v>201</v>
      </c>
      <c r="E53" s="360"/>
      <c r="F53" s="361"/>
      <c r="G53" s="362"/>
      <c r="H53" s="363">
        <f>SUM(H55:H69)</f>
        <v>1700</v>
      </c>
      <c r="I53" s="360"/>
      <c r="J53" s="363">
        <f>SUM(J55:J69)</f>
        <v>1115.4099999999999</v>
      </c>
      <c r="K53" s="360"/>
      <c r="L53" s="364" t="s">
        <v>247</v>
      </c>
      <c r="M53" s="360"/>
      <c r="N53" s="360"/>
      <c r="O53" s="365"/>
      <c r="P53" s="366"/>
    </row>
    <row r="54" spans="3:16" x14ac:dyDescent="0.3">
      <c r="C54" s="350"/>
      <c r="D54" s="26"/>
      <c r="E54" s="26"/>
      <c r="F54" s="351"/>
      <c r="G54" s="352"/>
      <c r="H54" s="367"/>
      <c r="I54" s="26"/>
      <c r="J54" s="367"/>
      <c r="K54" s="26"/>
      <c r="L54" s="368"/>
      <c r="M54" s="26"/>
      <c r="N54" s="26"/>
      <c r="O54" s="369"/>
      <c r="P54" s="370"/>
    </row>
    <row r="55" spans="3:16" x14ac:dyDescent="0.3">
      <c r="C55" s="350"/>
      <c r="D55" s="26" t="s">
        <v>248</v>
      </c>
      <c r="E55" s="26"/>
      <c r="F55" s="371">
        <f>SUM(G3:G43)-G33-G34</f>
        <v>8428.16</v>
      </c>
      <c r="G55" s="372">
        <v>10000</v>
      </c>
      <c r="H55" s="367"/>
      <c r="I55" s="26"/>
      <c r="J55" s="367"/>
      <c r="K55" s="26"/>
      <c r="L55" s="368" t="s">
        <v>249</v>
      </c>
      <c r="M55" s="26"/>
      <c r="N55" s="26" t="s">
        <v>250</v>
      </c>
      <c r="O55" s="369"/>
      <c r="P55" s="370"/>
    </row>
    <row r="56" spans="3:16" x14ac:dyDescent="0.3">
      <c r="C56" s="350"/>
      <c r="D56" s="26" t="s">
        <v>251</v>
      </c>
      <c r="E56" s="26"/>
      <c r="F56" s="373">
        <v>50</v>
      </c>
      <c r="G56" s="352"/>
      <c r="H56" s="373">
        <v>600</v>
      </c>
      <c r="I56" s="26"/>
      <c r="J56" s="373">
        <v>0</v>
      </c>
      <c r="K56" s="26"/>
      <c r="L56" s="368" t="s">
        <v>252</v>
      </c>
      <c r="M56" s="26"/>
      <c r="N56" s="26" t="s">
        <v>253</v>
      </c>
      <c r="O56" s="369"/>
      <c r="P56" s="370"/>
    </row>
    <row r="57" spans="3:16" x14ac:dyDescent="0.3">
      <c r="C57" s="350"/>
      <c r="D57" s="26"/>
      <c r="E57" s="26"/>
      <c r="F57" s="351"/>
      <c r="G57" s="352"/>
      <c r="H57" s="367"/>
      <c r="I57" s="26"/>
      <c r="J57" s="367"/>
      <c r="K57" s="26"/>
      <c r="L57" s="368" t="s">
        <v>252</v>
      </c>
      <c r="M57" s="26"/>
      <c r="N57" s="26" t="s">
        <v>254</v>
      </c>
      <c r="O57" s="369"/>
      <c r="P57" s="370"/>
    </row>
    <row r="58" spans="3:16" x14ac:dyDescent="0.3">
      <c r="C58" s="350"/>
      <c r="D58" s="26"/>
      <c r="E58" s="26"/>
      <c r="F58" s="351"/>
      <c r="G58" s="352"/>
      <c r="H58" s="367"/>
      <c r="I58" s="26"/>
      <c r="J58" s="367"/>
      <c r="K58" s="26"/>
      <c r="L58" s="368"/>
      <c r="M58" s="26"/>
      <c r="N58" s="26"/>
      <c r="O58" s="369"/>
      <c r="P58" s="370"/>
    </row>
    <row r="59" spans="3:16" x14ac:dyDescent="0.3">
      <c r="C59" s="350"/>
      <c r="D59" s="26" t="s">
        <v>255</v>
      </c>
      <c r="E59" s="26">
        <v>50</v>
      </c>
      <c r="F59" s="351"/>
      <c r="G59" s="352"/>
      <c r="H59" s="367"/>
      <c r="I59" s="26"/>
      <c r="J59" s="367" t="s">
        <v>311</v>
      </c>
      <c r="K59" s="26"/>
      <c r="L59" s="368" t="s">
        <v>256</v>
      </c>
      <c r="M59" s="26"/>
      <c r="N59" s="26"/>
      <c r="O59" s="369"/>
      <c r="P59" s="370"/>
    </row>
    <row r="60" spans="3:16" x14ac:dyDescent="0.3">
      <c r="C60" s="350"/>
      <c r="D60" s="26" t="s">
        <v>257</v>
      </c>
      <c r="E60" s="26">
        <v>2</v>
      </c>
      <c r="F60" s="351"/>
      <c r="G60" s="352"/>
      <c r="H60" s="367">
        <f>E59*E60</f>
        <v>100</v>
      </c>
      <c r="I60" s="26"/>
      <c r="J60" s="367">
        <f>340+150</f>
        <v>490</v>
      </c>
      <c r="K60" s="26"/>
      <c r="L60" s="368" t="s">
        <v>258</v>
      </c>
      <c r="M60" s="26"/>
      <c r="N60" s="26"/>
      <c r="O60" s="369"/>
      <c r="P60" s="370"/>
    </row>
    <row r="61" spans="3:16" x14ac:dyDescent="0.3">
      <c r="C61" s="350"/>
      <c r="D61" s="26"/>
      <c r="E61" s="26"/>
      <c r="F61" s="351"/>
      <c r="G61" s="352"/>
      <c r="H61" s="367"/>
      <c r="I61" s="26"/>
      <c r="J61" s="367"/>
      <c r="K61" s="26"/>
      <c r="L61" s="368"/>
      <c r="M61" s="26"/>
      <c r="N61" s="26"/>
      <c r="O61" s="369"/>
      <c r="P61" s="370"/>
    </row>
    <row r="62" spans="3:16" x14ac:dyDescent="0.3">
      <c r="C62" s="350"/>
      <c r="D62" s="26"/>
      <c r="E62" s="26"/>
      <c r="F62" s="351"/>
      <c r="G62" s="352"/>
      <c r="H62" s="367"/>
      <c r="I62" s="26"/>
      <c r="J62" s="367"/>
      <c r="K62" s="26"/>
      <c r="L62" s="368" t="s">
        <v>259</v>
      </c>
      <c r="M62" s="26"/>
      <c r="N62" s="26"/>
      <c r="O62" s="369"/>
      <c r="P62" s="370"/>
    </row>
    <row r="63" spans="3:16" x14ac:dyDescent="0.3">
      <c r="C63" s="350"/>
      <c r="D63" s="26" t="s">
        <v>197</v>
      </c>
      <c r="E63" s="26"/>
      <c r="F63" s="351"/>
      <c r="G63" s="352"/>
      <c r="H63" s="367"/>
      <c r="I63" s="26"/>
      <c r="J63" s="367"/>
      <c r="K63" s="26"/>
      <c r="L63" s="368"/>
      <c r="M63" s="26"/>
      <c r="N63" s="26"/>
      <c r="O63" s="369"/>
      <c r="P63" s="370"/>
    </row>
    <row r="64" spans="3:16" x14ac:dyDescent="0.3">
      <c r="C64" s="350"/>
      <c r="D64" s="26" t="s">
        <v>260</v>
      </c>
      <c r="E64" s="26"/>
      <c r="F64" s="351"/>
      <c r="G64" s="352"/>
      <c r="H64" s="367">
        <v>1000</v>
      </c>
      <c r="I64" s="26"/>
      <c r="J64" s="367">
        <v>625.41</v>
      </c>
      <c r="K64" s="26"/>
      <c r="L64" s="368"/>
      <c r="M64" s="26"/>
      <c r="N64" s="26"/>
      <c r="O64" s="369"/>
      <c r="P64" s="370"/>
    </row>
    <row r="65" spans="3:16" x14ac:dyDescent="0.3">
      <c r="C65" s="350"/>
      <c r="D65" s="26" t="s">
        <v>261</v>
      </c>
      <c r="E65" s="26"/>
      <c r="F65" s="351"/>
      <c r="G65" s="352"/>
      <c r="H65" s="367"/>
      <c r="I65" s="26"/>
      <c r="J65" s="367"/>
      <c r="K65" s="26"/>
      <c r="L65" s="368"/>
      <c r="M65" s="26"/>
      <c r="N65" s="26"/>
      <c r="O65" s="369"/>
      <c r="P65" s="370"/>
    </row>
    <row r="66" spans="3:16" x14ac:dyDescent="0.3">
      <c r="C66" s="350"/>
      <c r="D66" s="26"/>
      <c r="E66" s="26"/>
      <c r="F66" s="351"/>
      <c r="G66" s="352"/>
      <c r="H66" s="367"/>
      <c r="I66" s="26"/>
      <c r="J66" s="367"/>
      <c r="K66" s="26"/>
      <c r="L66" s="368"/>
      <c r="M66" s="26"/>
      <c r="N66" s="26"/>
      <c r="O66" s="369"/>
      <c r="P66" s="370"/>
    </row>
    <row r="67" spans="3:16" x14ac:dyDescent="0.3">
      <c r="C67" s="350"/>
      <c r="D67" s="26"/>
      <c r="E67" s="26"/>
      <c r="F67" s="351"/>
      <c r="G67" s="352"/>
      <c r="H67" s="367"/>
      <c r="I67" s="26"/>
      <c r="J67" s="367"/>
      <c r="K67" s="26"/>
      <c r="L67" s="368"/>
      <c r="M67" s="26"/>
      <c r="N67" s="26"/>
      <c r="O67" s="369"/>
      <c r="P67" s="370"/>
    </row>
    <row r="68" spans="3:16" x14ac:dyDescent="0.3">
      <c r="C68" s="350"/>
      <c r="D68" s="26"/>
      <c r="E68" s="26"/>
      <c r="F68" s="351"/>
      <c r="G68" s="352"/>
      <c r="H68" s="367"/>
      <c r="I68" s="26"/>
      <c r="J68" s="367"/>
      <c r="K68" s="26"/>
      <c r="L68" s="368"/>
      <c r="M68" s="26"/>
      <c r="N68" s="26"/>
      <c r="O68" s="369"/>
      <c r="P68" s="370"/>
    </row>
    <row r="69" spans="3:16" ht="15" thickBot="1" x14ac:dyDescent="0.35">
      <c r="C69" s="374"/>
      <c r="D69" s="375"/>
      <c r="E69" s="375"/>
      <c r="F69" s="376"/>
      <c r="G69" s="377"/>
      <c r="H69" s="378"/>
      <c r="I69" s="375"/>
      <c r="J69" s="378"/>
      <c r="K69" s="375"/>
      <c r="L69" s="379"/>
      <c r="M69" s="375"/>
      <c r="N69" s="375"/>
      <c r="O69" s="380"/>
      <c r="P69" s="381"/>
    </row>
    <row r="70" spans="3:16" ht="15" thickBot="1" x14ac:dyDescent="0.35">
      <c r="J70" s="327"/>
    </row>
    <row r="71" spans="3:16" ht="16.2" thickBot="1" x14ac:dyDescent="0.35">
      <c r="C71" s="359"/>
      <c r="D71" s="360" t="s">
        <v>262</v>
      </c>
      <c r="E71" s="360"/>
      <c r="F71" s="361"/>
      <c r="G71" s="362"/>
      <c r="H71" s="363">
        <f>H53+H51</f>
        <v>17413.11</v>
      </c>
      <c r="I71" s="360"/>
      <c r="J71" s="476">
        <f>J53+J51</f>
        <v>16383.439999999999</v>
      </c>
      <c r="K71" s="360"/>
      <c r="L71" s="364"/>
      <c r="M71" s="360"/>
      <c r="N71" s="360"/>
      <c r="O71" s="365"/>
      <c r="P71" s="366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F62"/>
  <sheetViews>
    <sheetView topLeftCell="A28" workbookViewId="0">
      <selection activeCell="B40" sqref="B40"/>
    </sheetView>
  </sheetViews>
  <sheetFormatPr defaultRowHeight="14.4" x14ac:dyDescent="0.3"/>
  <cols>
    <col min="1" max="1" width="58.33203125" bestFit="1" customWidth="1"/>
    <col min="2" max="2" width="12.88671875" customWidth="1"/>
    <col min="3" max="3" width="14.5546875" customWidth="1"/>
    <col min="4" max="4" width="21" bestFit="1" customWidth="1"/>
    <col min="5" max="5" width="4.88671875" bestFit="1" customWidth="1"/>
    <col min="6" max="6" width="27.5546875" bestFit="1" customWidth="1"/>
    <col min="7" max="7" width="27.44140625" bestFit="1" customWidth="1"/>
    <col min="8" max="8" width="18.88671875" customWidth="1"/>
    <col min="9" max="9" width="57.33203125" bestFit="1" customWidth="1"/>
    <col min="10" max="10" width="58.44140625" bestFit="1" customWidth="1"/>
  </cols>
  <sheetData>
    <row r="1" spans="1:4" x14ac:dyDescent="0.3">
      <c r="A1" t="s">
        <v>156</v>
      </c>
      <c r="B1" t="s">
        <v>157</v>
      </c>
    </row>
    <row r="2" spans="1:4" x14ac:dyDescent="0.3">
      <c r="A2" s="306" t="s">
        <v>158</v>
      </c>
      <c r="B2" s="310">
        <v>4</v>
      </c>
    </row>
    <row r="3" spans="1:4" x14ac:dyDescent="0.3">
      <c r="A3" s="306" t="s">
        <v>265</v>
      </c>
      <c r="B3" s="310">
        <v>2</v>
      </c>
    </row>
    <row r="4" spans="1:4" x14ac:dyDescent="0.3">
      <c r="A4" s="306" t="s">
        <v>159</v>
      </c>
      <c r="B4" s="310">
        <v>346</v>
      </c>
    </row>
    <row r="5" spans="1:4" x14ac:dyDescent="0.3">
      <c r="A5" s="306" t="s">
        <v>104</v>
      </c>
      <c r="B5" s="310">
        <v>21</v>
      </c>
    </row>
    <row r="6" spans="1:4" x14ac:dyDescent="0.3">
      <c r="A6" s="306" t="s">
        <v>147</v>
      </c>
      <c r="B6" s="310">
        <v>1</v>
      </c>
    </row>
    <row r="7" spans="1:4" x14ac:dyDescent="0.3">
      <c r="A7" s="306" t="s">
        <v>160</v>
      </c>
      <c r="B7" s="310">
        <v>99</v>
      </c>
    </row>
    <row r="8" spans="1:4" x14ac:dyDescent="0.3">
      <c r="A8" s="306" t="s">
        <v>103</v>
      </c>
      <c r="B8" s="310">
        <v>81</v>
      </c>
    </row>
    <row r="9" spans="1:4" x14ac:dyDescent="0.3">
      <c r="A9" s="306" t="s">
        <v>100</v>
      </c>
      <c r="B9" s="310">
        <v>4</v>
      </c>
    </row>
    <row r="10" spans="1:4" x14ac:dyDescent="0.3">
      <c r="A10" t="s">
        <v>161</v>
      </c>
      <c r="B10">
        <v>558</v>
      </c>
    </row>
    <row r="11" spans="1:4" x14ac:dyDescent="0.3">
      <c r="A11" s="396"/>
      <c r="B11" s="396"/>
      <c r="C11" s="396"/>
      <c r="D11" s="396"/>
    </row>
    <row r="12" spans="1:4" x14ac:dyDescent="0.3">
      <c r="A12" s="396"/>
      <c r="B12" s="396"/>
      <c r="C12" s="396"/>
      <c r="D12" s="396"/>
    </row>
    <row r="14" spans="1:4" x14ac:dyDescent="0.3">
      <c r="A14" s="312" t="s">
        <v>162</v>
      </c>
      <c r="D14" s="387" t="s">
        <v>267</v>
      </c>
    </row>
    <row r="15" spans="1:4" x14ac:dyDescent="0.3">
      <c r="A15" s="306" t="s">
        <v>163</v>
      </c>
      <c r="B15" s="310">
        <v>8</v>
      </c>
    </row>
    <row r="16" spans="1:4" x14ac:dyDescent="0.3">
      <c r="A16" s="306" t="s">
        <v>164</v>
      </c>
      <c r="B16" s="310">
        <v>17</v>
      </c>
    </row>
    <row r="17" spans="1:4" x14ac:dyDescent="0.3">
      <c r="A17" s="306" t="s">
        <v>165</v>
      </c>
      <c r="B17" s="310">
        <v>379</v>
      </c>
      <c r="D17" s="4">
        <f>+B17/B$10</f>
        <v>0.67921146953405021</v>
      </c>
    </row>
    <row r="18" spans="1:4" x14ac:dyDescent="0.3">
      <c r="A18" s="306" t="s">
        <v>166</v>
      </c>
      <c r="B18" s="310">
        <v>81</v>
      </c>
    </row>
    <row r="19" spans="1:4" x14ac:dyDescent="0.3">
      <c r="A19" s="306" t="s">
        <v>167</v>
      </c>
      <c r="B19" s="310">
        <v>45</v>
      </c>
    </row>
    <row r="20" spans="1:4" x14ac:dyDescent="0.3">
      <c r="A20" s="306" t="s">
        <v>168</v>
      </c>
      <c r="B20" s="310">
        <v>438</v>
      </c>
      <c r="D20" s="4">
        <f>+B20/B$10</f>
        <v>0.78494623655913975</v>
      </c>
    </row>
    <row r="21" spans="1:4" x14ac:dyDescent="0.3">
      <c r="A21" s="306" t="s">
        <v>169</v>
      </c>
      <c r="B21" s="310">
        <v>511</v>
      </c>
      <c r="D21" s="4">
        <f>+B21/B$10</f>
        <v>0.91577060931899645</v>
      </c>
    </row>
    <row r="22" spans="1:4" x14ac:dyDescent="0.3">
      <c r="A22" s="306" t="s">
        <v>263</v>
      </c>
      <c r="B22" s="310">
        <v>84</v>
      </c>
    </row>
    <row r="23" spans="1:4" x14ac:dyDescent="0.3">
      <c r="A23" s="306" t="s">
        <v>170</v>
      </c>
      <c r="B23" s="310">
        <v>491</v>
      </c>
      <c r="D23" s="4">
        <f>+B23/B$10</f>
        <v>0.87992831541218641</v>
      </c>
    </row>
    <row r="24" spans="1:4" x14ac:dyDescent="0.3">
      <c r="A24" t="s">
        <v>171</v>
      </c>
      <c r="B24">
        <v>421</v>
      </c>
      <c r="D24" s="4">
        <f>+B24/(B$2+B$3+B$4+B$7)</f>
        <v>0.93348115299334811</v>
      </c>
    </row>
    <row r="25" spans="1:4" x14ac:dyDescent="0.3">
      <c r="A25" t="s">
        <v>172</v>
      </c>
      <c r="B25">
        <v>468</v>
      </c>
      <c r="D25" s="4">
        <f>+B25/B$10</f>
        <v>0.83870967741935487</v>
      </c>
    </row>
    <row r="29" spans="1:4" x14ac:dyDescent="0.3">
      <c r="A29" s="312" t="s">
        <v>173</v>
      </c>
      <c r="B29" s="383"/>
    </row>
    <row r="30" spans="1:4" x14ac:dyDescent="0.3">
      <c r="A30" s="306" t="s">
        <v>174</v>
      </c>
      <c r="B30" s="383">
        <v>189150</v>
      </c>
      <c r="C30" s="399"/>
    </row>
    <row r="31" spans="1:4" x14ac:dyDescent="0.3">
      <c r="A31" s="306" t="s">
        <v>175</v>
      </c>
      <c r="B31" s="383">
        <v>2800</v>
      </c>
    </row>
    <row r="32" spans="1:4" x14ac:dyDescent="0.3">
      <c r="A32" s="306" t="s">
        <v>176</v>
      </c>
      <c r="B32" s="383">
        <v>540</v>
      </c>
    </row>
    <row r="33" spans="1:4" x14ac:dyDescent="0.3">
      <c r="A33" s="306" t="s">
        <v>177</v>
      </c>
      <c r="B33" s="383">
        <v>425</v>
      </c>
    </row>
    <row r="34" spans="1:4" x14ac:dyDescent="0.3">
      <c r="A34" s="306" t="s">
        <v>102</v>
      </c>
      <c r="B34" s="383">
        <v>2925</v>
      </c>
    </row>
    <row r="35" spans="1:4" x14ac:dyDescent="0.3">
      <c r="A35" s="306" t="s">
        <v>178</v>
      </c>
      <c r="B35" s="383">
        <v>1075</v>
      </c>
    </row>
    <row r="38" spans="1:4" x14ac:dyDescent="0.3">
      <c r="A38" s="312" t="s">
        <v>174</v>
      </c>
      <c r="B38" s="312" t="s">
        <v>157</v>
      </c>
      <c r="C38" t="s">
        <v>173</v>
      </c>
    </row>
    <row r="39" spans="1:4" x14ac:dyDescent="0.3">
      <c r="A39" s="306" t="s">
        <v>179</v>
      </c>
      <c r="B39" s="310">
        <v>345</v>
      </c>
      <c r="C39" s="311">
        <v>129375</v>
      </c>
      <c r="D39" s="399"/>
    </row>
    <row r="40" spans="1:4" x14ac:dyDescent="0.3">
      <c r="A40" s="398" t="s">
        <v>283</v>
      </c>
      <c r="B40" s="397">
        <v>11</v>
      </c>
      <c r="C40" s="400">
        <v>0</v>
      </c>
      <c r="D40" s="396"/>
    </row>
    <row r="41" spans="1:4" x14ac:dyDescent="0.3">
      <c r="A41" s="398" t="s">
        <v>313</v>
      </c>
      <c r="B41" s="397">
        <v>25</v>
      </c>
      <c r="C41" s="400">
        <v>11875</v>
      </c>
      <c r="D41" s="396"/>
    </row>
    <row r="42" spans="1:4" x14ac:dyDescent="0.3">
      <c r="A42" s="306" t="s">
        <v>269</v>
      </c>
      <c r="B42" s="310">
        <v>64</v>
      </c>
      <c r="C42" s="311">
        <v>27200</v>
      </c>
    </row>
    <row r="43" spans="1:4" x14ac:dyDescent="0.3">
      <c r="A43" s="306" t="s">
        <v>180</v>
      </c>
      <c r="B43" s="310">
        <v>18</v>
      </c>
      <c r="C43" s="311">
        <v>2700</v>
      </c>
    </row>
    <row r="44" spans="1:4" x14ac:dyDescent="0.3">
      <c r="A44" s="398" t="s">
        <v>314</v>
      </c>
      <c r="B44" s="397">
        <v>2</v>
      </c>
      <c r="C44" s="400">
        <v>400</v>
      </c>
    </row>
    <row r="45" spans="1:4" x14ac:dyDescent="0.3">
      <c r="A45" s="306" t="s">
        <v>282</v>
      </c>
      <c r="B45" s="310">
        <v>1</v>
      </c>
      <c r="C45" s="311">
        <v>175</v>
      </c>
      <c r="D45" s="396"/>
    </row>
    <row r="46" spans="1:4" x14ac:dyDescent="0.3">
      <c r="A46" s="398" t="s">
        <v>284</v>
      </c>
      <c r="B46" s="397">
        <v>5</v>
      </c>
      <c r="C46" s="400">
        <v>750</v>
      </c>
    </row>
    <row r="47" spans="1:4" x14ac:dyDescent="0.3">
      <c r="A47" s="306" t="s">
        <v>181</v>
      </c>
      <c r="B47" s="310">
        <v>61</v>
      </c>
      <c r="C47" s="311">
        <v>12200</v>
      </c>
      <c r="D47" s="396"/>
    </row>
    <row r="48" spans="1:4" x14ac:dyDescent="0.3">
      <c r="A48" s="398" t="s">
        <v>315</v>
      </c>
      <c r="B48" s="397">
        <v>8</v>
      </c>
      <c r="C48" s="400">
        <v>2000</v>
      </c>
    </row>
    <row r="49" spans="1:6" x14ac:dyDescent="0.3">
      <c r="A49" s="306" t="s">
        <v>270</v>
      </c>
      <c r="B49" s="310">
        <v>11</v>
      </c>
      <c r="C49" s="311">
        <v>2475</v>
      </c>
    </row>
    <row r="50" spans="1:6" x14ac:dyDescent="0.3">
      <c r="A50" s="306" t="s">
        <v>38</v>
      </c>
      <c r="B50" s="310">
        <v>4</v>
      </c>
      <c r="C50" s="311">
        <v>0</v>
      </c>
    </row>
    <row r="51" spans="1:6" x14ac:dyDescent="0.3">
      <c r="A51" s="306" t="s">
        <v>271</v>
      </c>
      <c r="B51" s="310">
        <v>3</v>
      </c>
      <c r="C51" s="311"/>
    </row>
    <row r="52" spans="1:6" x14ac:dyDescent="0.3">
      <c r="A52" s="306" t="s">
        <v>161</v>
      </c>
      <c r="B52" s="310">
        <v>558</v>
      </c>
      <c r="C52" s="311">
        <v>189150</v>
      </c>
      <c r="D52" s="399"/>
    </row>
    <row r="53" spans="1:6" x14ac:dyDescent="0.3">
      <c r="C53" s="311"/>
      <c r="F53">
        <f>558-13-9</f>
        <v>536</v>
      </c>
    </row>
    <row r="54" spans="1:6" x14ac:dyDescent="0.3">
      <c r="A54" s="312" t="s">
        <v>182</v>
      </c>
      <c r="B54" t="s">
        <v>157</v>
      </c>
      <c r="C54" s="311"/>
    </row>
    <row r="55" spans="1:6" x14ac:dyDescent="0.3">
      <c r="A55" s="306" t="s">
        <v>183</v>
      </c>
      <c r="B55" s="310">
        <v>62</v>
      </c>
      <c r="C55" s="311"/>
    </row>
    <row r="56" spans="1:6" x14ac:dyDescent="0.3">
      <c r="A56" s="306" t="s">
        <v>184</v>
      </c>
      <c r="B56" s="310">
        <v>315</v>
      </c>
      <c r="C56" s="311"/>
    </row>
    <row r="57" spans="1:6" x14ac:dyDescent="0.3">
      <c r="A57" s="306" t="s">
        <v>161</v>
      </c>
      <c r="B57" s="310">
        <v>379</v>
      </c>
      <c r="C57" s="311"/>
    </row>
    <row r="58" spans="1:6" x14ac:dyDescent="0.3">
      <c r="C58" s="311"/>
    </row>
    <row r="59" spans="1:6" x14ac:dyDescent="0.3">
      <c r="C59" s="311"/>
    </row>
    <row r="60" spans="1:6" x14ac:dyDescent="0.3">
      <c r="C60" s="311"/>
    </row>
    <row r="61" spans="1:6" x14ac:dyDescent="0.3">
      <c r="C61" s="311"/>
    </row>
    <row r="62" spans="1:6" x14ac:dyDescent="0.3">
      <c r="C62" s="311"/>
    </row>
  </sheetData>
  <phoneticPr fontId="24" type="noConversion"/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Summary</vt:lpstr>
      <vt:lpstr>Attendance, Revenue</vt:lpstr>
      <vt:lpstr>Expense Detail</vt:lpstr>
      <vt:lpstr>Beverage</vt:lpstr>
      <vt:lpstr>Registration Grid</vt:lpstr>
      <vt:lpstr>'Attendance, Revenue'!Print_Area</vt:lpstr>
      <vt:lpstr>'Expense Detail'!Print_Area</vt:lpstr>
      <vt:lpstr>'Attendance, Revenue'!Print_Titles</vt:lpstr>
      <vt:lpstr>'Expense Detail'!Print_Titles</vt:lpstr>
    </vt:vector>
  </TitlesOfParts>
  <Company>Bloomberg L.P.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newspool</dc:creator>
  <cp:lastModifiedBy>Alec Casey</cp:lastModifiedBy>
  <cp:lastPrinted>2013-06-29T14:10:19Z</cp:lastPrinted>
  <dcterms:created xsi:type="dcterms:W3CDTF">2012-11-24T15:29:45Z</dcterms:created>
  <dcterms:modified xsi:type="dcterms:W3CDTF">2018-07-16T00:53:54Z</dcterms:modified>
</cp:coreProperties>
</file>