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0236" yWindow="-12" windowWidth="10272" windowHeight="8160" tabRatio="531" activeTab="1"/>
  </bookViews>
  <sheets>
    <sheet name="Cover" sheetId="20" r:id="rId1"/>
    <sheet name="Reunion Financials" sheetId="18" r:id="rId2"/>
    <sheet name="Rev &amp; Attendance Details" sheetId="19" r:id="rId3"/>
    <sheet name="Expense Details" sheetId="14" r:id="rId4"/>
    <sheet name="Bank Rec" sheetId="17" r:id="rId5"/>
  </sheets>
  <definedNames>
    <definedName name="_xlnm.Print_Area" localSheetId="3">'Expense Details'!$B$1:$L$219</definedName>
    <definedName name="_xlnm.Print_Titles" localSheetId="3">'Expense Details'!$2:$3</definedName>
  </definedNames>
  <calcPr calcId="145621" iterate="1" iterateCount="1000"/>
</workbook>
</file>

<file path=xl/calcChain.xml><?xml version="1.0" encoding="utf-8"?>
<calcChain xmlns="http://schemas.openxmlformats.org/spreadsheetml/2006/main">
  <c r="B28" i="18" l="1"/>
  <c r="C10" i="18" l="1"/>
  <c r="C12" i="18" s="1"/>
  <c r="C4" i="18"/>
  <c r="C9" i="18"/>
  <c r="C8" i="18"/>
  <c r="C7" i="18"/>
  <c r="C6" i="18"/>
  <c r="C5" i="18"/>
  <c r="B9" i="18"/>
  <c r="B8" i="18"/>
  <c r="B7" i="18"/>
  <c r="B6" i="18"/>
  <c r="B5" i="18"/>
  <c r="B4" i="18"/>
  <c r="B42" i="18"/>
  <c r="B39" i="18"/>
  <c r="B31" i="18"/>
  <c r="B38" i="18"/>
  <c r="B34" i="18"/>
  <c r="B30" i="18"/>
  <c r="B25" i="18"/>
  <c r="B41" i="18"/>
  <c r="B40" i="18"/>
  <c r="I14" i="14"/>
  <c r="I192" i="14"/>
  <c r="J187" i="14" s="1"/>
  <c r="C35" i="18" s="1"/>
  <c r="G192" i="14"/>
  <c r="I217" i="14"/>
  <c r="I191" i="14"/>
  <c r="I189" i="14"/>
  <c r="F190" i="14"/>
  <c r="I190" i="14" s="1"/>
  <c r="I215" i="14"/>
  <c r="F161" i="14"/>
  <c r="I159" i="14"/>
  <c r="G159" i="14" s="1"/>
  <c r="G154" i="14"/>
  <c r="G155" i="14"/>
  <c r="I178" i="14"/>
  <c r="F177" i="14"/>
  <c r="G176" i="14"/>
  <c r="G175" i="14"/>
  <c r="I148" i="14"/>
  <c r="I198" i="14"/>
  <c r="G51" i="14"/>
  <c r="H50" i="14"/>
  <c r="H49" i="14"/>
  <c r="H48" i="14"/>
  <c r="H35" i="14"/>
  <c r="F179" i="14" l="1"/>
  <c r="I179" i="14" s="1"/>
  <c r="F16" i="19"/>
  <c r="F15" i="19"/>
  <c r="F14" i="19"/>
  <c r="F13" i="19"/>
  <c r="D21" i="19"/>
  <c r="D20" i="19"/>
  <c r="O7" i="19"/>
  <c r="N7" i="19"/>
  <c r="M7" i="19"/>
  <c r="O6" i="19"/>
  <c r="N6" i="19"/>
  <c r="M6" i="19"/>
  <c r="O5" i="19"/>
  <c r="N5" i="19"/>
  <c r="M5" i="19"/>
  <c r="O4" i="19"/>
  <c r="N4" i="19"/>
  <c r="M4" i="19"/>
  <c r="F8" i="19"/>
  <c r="E8" i="19"/>
  <c r="D8" i="19"/>
  <c r="P7" i="19"/>
  <c r="G7" i="19"/>
  <c r="P6" i="19"/>
  <c r="G6" i="19"/>
  <c r="P5" i="19"/>
  <c r="G5" i="19"/>
  <c r="P4" i="19"/>
  <c r="G4" i="19"/>
  <c r="M8" i="19" l="1"/>
  <c r="I8" i="19" s="1"/>
  <c r="N8" i="19"/>
  <c r="J8" i="19" s="1"/>
  <c r="O8" i="19"/>
  <c r="K8" i="19" s="1"/>
  <c r="G8" i="19"/>
  <c r="E12" i="19" s="1"/>
  <c r="P8" i="19"/>
  <c r="D12" i="19" s="1"/>
  <c r="G15" i="17"/>
  <c r="F79" i="17" s="1"/>
  <c r="G13" i="17"/>
  <c r="E11" i="17"/>
  <c r="G10" i="17"/>
  <c r="G9" i="17"/>
  <c r="G8" i="17"/>
  <c r="G7" i="17"/>
  <c r="G6" i="17"/>
  <c r="G5" i="17"/>
  <c r="G4" i="17"/>
  <c r="E68" i="17"/>
  <c r="F11" i="17" l="1"/>
  <c r="G11" i="17" s="1"/>
  <c r="D19" i="19"/>
  <c r="D17" i="19"/>
  <c r="F12" i="19"/>
  <c r="F12" i="17"/>
  <c r="E14" i="17"/>
  <c r="F14" i="17" l="1"/>
  <c r="J12" i="14" s="1"/>
  <c r="C14" i="18" s="1"/>
  <c r="D18" i="19"/>
  <c r="D22" i="19" s="1"/>
  <c r="D24" i="19" s="1"/>
  <c r="F17" i="19"/>
  <c r="E16" i="17"/>
  <c r="G12" i="17"/>
  <c r="G14" i="17" s="1"/>
  <c r="G16" i="17" s="1"/>
  <c r="E70" i="17" s="1"/>
  <c r="F81" i="17" s="1"/>
  <c r="F83" i="17" s="1"/>
  <c r="I210" i="14"/>
  <c r="F16" i="17" l="1"/>
  <c r="I149" i="14"/>
  <c r="I144" i="14" l="1"/>
  <c r="H130" i="14"/>
  <c r="I129" i="14"/>
  <c r="I121" i="14"/>
  <c r="I110" i="14"/>
  <c r="I98" i="14"/>
  <c r="I85" i="14"/>
  <c r="I74" i="14"/>
  <c r="G174" i="14"/>
  <c r="I43" i="14" l="1"/>
  <c r="I197" i="14" l="1"/>
  <c r="I20" i="14" l="1"/>
  <c r="I31" i="14" s="1"/>
  <c r="F20" i="14"/>
  <c r="G27" i="14"/>
  <c r="G29" i="14"/>
  <c r="G24" i="14"/>
  <c r="G25" i="14"/>
  <c r="G26" i="14"/>
  <c r="G28" i="14"/>
  <c r="G30" i="14"/>
  <c r="H23" i="14"/>
  <c r="G23" i="14"/>
  <c r="G20" i="14"/>
  <c r="H22" i="14"/>
  <c r="G22" i="14"/>
  <c r="G21" i="14"/>
  <c r="F8" i="14" l="1"/>
  <c r="F203" i="14" l="1"/>
  <c r="I203" i="14" s="1"/>
  <c r="I196" i="14"/>
  <c r="I204" i="14"/>
  <c r="I183" i="14"/>
  <c r="I199" i="14"/>
  <c r="I181" i="14"/>
  <c r="I182" i="14"/>
  <c r="I184" i="14"/>
  <c r="I205" i="14"/>
  <c r="I170" i="14"/>
  <c r="J213" i="14" s="1"/>
  <c r="C42" i="18" s="1"/>
  <c r="I7" i="14"/>
  <c r="I9" i="14"/>
  <c r="I39" i="14"/>
  <c r="I40" i="14"/>
  <c r="I41" i="14"/>
  <c r="I42" i="14"/>
  <c r="I59" i="14"/>
  <c r="I61" i="14"/>
  <c r="I60" i="14" s="1"/>
  <c r="I63" i="14"/>
  <c r="I70" i="14"/>
  <c r="I72" i="14"/>
  <c r="I71" i="14" s="1"/>
  <c r="I75" i="14"/>
  <c r="I81" i="14"/>
  <c r="I83" i="14"/>
  <c r="I82" i="14" s="1"/>
  <c r="I86" i="14"/>
  <c r="I106" i="14"/>
  <c r="I108" i="14"/>
  <c r="I107" i="14" s="1"/>
  <c r="I111" i="14"/>
  <c r="I117" i="14"/>
  <c r="I119" i="14"/>
  <c r="I118" i="14" s="1"/>
  <c r="I122" i="14"/>
  <c r="I140" i="14"/>
  <c r="I142" i="14"/>
  <c r="I141" i="14" s="1"/>
  <c r="I145" i="14"/>
  <c r="I94" i="14"/>
  <c r="I90" i="14"/>
  <c r="I91" i="14"/>
  <c r="I92" i="14"/>
  <c r="I93" i="14"/>
  <c r="I126" i="14"/>
  <c r="I96" i="14"/>
  <c r="I95" i="14" s="1"/>
  <c r="I99" i="14"/>
  <c r="I125" i="14"/>
  <c r="I127" i="14"/>
  <c r="I128" i="14" s="1"/>
  <c r="I130" i="14"/>
  <c r="I131" i="14"/>
  <c r="I132" i="14"/>
  <c r="I133" i="14"/>
  <c r="I47" i="14"/>
  <c r="I163" i="14"/>
  <c r="I162" i="14"/>
  <c r="I158" i="14"/>
  <c r="I157" i="14"/>
  <c r="I161" i="14"/>
  <c r="I165" i="14"/>
  <c r="I166" i="14"/>
  <c r="I168" i="14"/>
  <c r="F18" i="14"/>
  <c r="I18" i="14" s="1"/>
  <c r="J16" i="14" s="1"/>
  <c r="C41" i="18" s="1"/>
  <c r="I209" i="14"/>
  <c r="I177" i="14"/>
  <c r="J201" i="14" l="1"/>
  <c r="C31" i="18" s="1"/>
  <c r="I185" i="14"/>
  <c r="J172" i="14"/>
  <c r="C34" i="18" s="1"/>
  <c r="C36" i="18" s="1"/>
  <c r="J194" i="14"/>
  <c r="C38" i="18" s="1"/>
  <c r="J152" i="14"/>
  <c r="C29" i="18" s="1"/>
  <c r="I134" i="14"/>
  <c r="C22" i="18" s="1"/>
  <c r="J207" i="14"/>
  <c r="C39" i="18" s="1"/>
  <c r="I35" i="14"/>
  <c r="H36" i="14"/>
  <c r="I44" i="14"/>
  <c r="I45" i="14" s="1"/>
  <c r="C25" i="18" s="1"/>
  <c r="H97" i="14"/>
  <c r="I97" i="14" s="1"/>
  <c r="I100" i="14" s="1"/>
  <c r="C19" i="18" s="1"/>
  <c r="I36" i="14" l="1"/>
  <c r="I37" i="14" s="1"/>
  <c r="C28" i="18" s="1"/>
  <c r="I79" i="14" l="1"/>
  <c r="I57" i="14"/>
  <c r="I138" i="14"/>
  <c r="I104" i="14"/>
  <c r="I49" i="14"/>
  <c r="I115" i="14"/>
  <c r="I105" i="14"/>
  <c r="H51" i="14"/>
  <c r="I51" i="14" s="1"/>
  <c r="I80" i="14"/>
  <c r="I69" i="14"/>
  <c r="I116" i="14"/>
  <c r="I139" i="14"/>
  <c r="I58" i="14"/>
  <c r="I103" i="14"/>
  <c r="I137" i="14"/>
  <c r="I56" i="14"/>
  <c r="I67" i="14"/>
  <c r="I78" i="14"/>
  <c r="I50" i="14"/>
  <c r="I68" i="14"/>
  <c r="I114" i="14" l="1"/>
  <c r="I120" i="14"/>
  <c r="I73" i="14"/>
  <c r="I76" i="14" s="1"/>
  <c r="C17" i="18" s="1"/>
  <c r="I84" i="14"/>
  <c r="I87" i="14" s="1"/>
  <c r="C18" i="18" s="1"/>
  <c r="I62" i="14"/>
  <c r="I64" i="14" s="1"/>
  <c r="C16" i="18" s="1"/>
  <c r="I48" i="14"/>
  <c r="I52" i="14" s="1"/>
  <c r="I109" i="14"/>
  <c r="I112" i="14" s="1"/>
  <c r="C20" i="18" s="1"/>
  <c r="I143" i="14"/>
  <c r="I146" i="14" s="1"/>
  <c r="C23" i="18" s="1"/>
  <c r="I10" i="14"/>
  <c r="J33" i="14" l="1"/>
  <c r="C30" i="18"/>
  <c r="C32" i="18" s="1"/>
  <c r="I123" i="14"/>
  <c r="C21" i="18" s="1"/>
  <c r="C26" i="18" s="1"/>
  <c r="I150" i="14"/>
  <c r="C24" i="18" s="1"/>
  <c r="J54" i="14" l="1"/>
  <c r="O16" i="14"/>
  <c r="O26" i="14" s="1"/>
  <c r="J5" i="14" l="1"/>
  <c r="C40" i="18" s="1"/>
  <c r="C43" i="18" s="1"/>
  <c r="C45" i="18" s="1"/>
  <c r="C47" i="18" s="1"/>
  <c r="J219" i="14" l="1"/>
</calcChain>
</file>

<file path=xl/sharedStrings.xml><?xml version="1.0" encoding="utf-8"?>
<sst xmlns="http://schemas.openxmlformats.org/spreadsheetml/2006/main" count="559" uniqueCount="368">
  <si>
    <t>Early</t>
  </si>
  <si>
    <t>Regular</t>
  </si>
  <si>
    <t>Total</t>
  </si>
  <si>
    <t>Juniors (6-12)</t>
  </si>
  <si>
    <t>Walk-In</t>
  </si>
  <si>
    <t>Variable Costs per Person</t>
  </si>
  <si>
    <t>Total by</t>
  </si>
  <si>
    <t>$ per person</t>
  </si>
  <si>
    <t>Line Item</t>
  </si>
  <si>
    <t>Appetizers</t>
  </si>
  <si>
    <t>Thursday</t>
  </si>
  <si>
    <t>Dinner</t>
  </si>
  <si>
    <t>Head Bartender</t>
  </si>
  <si>
    <t>Bartenders (5)</t>
  </si>
  <si>
    <t>Fixed Cost for Coordinator &amp; Assistant</t>
  </si>
  <si>
    <t>Teen Program</t>
  </si>
  <si>
    <t>Junior Program</t>
  </si>
  <si>
    <t>Toddler (2-5)</t>
  </si>
  <si>
    <t>Transportation</t>
  </si>
  <si>
    <t>College Mailings</t>
  </si>
  <si>
    <t>Reunion Book</t>
  </si>
  <si>
    <t>TOTAL EXPENSES</t>
  </si>
  <si>
    <t>PRICING</t>
  </si>
  <si>
    <t>REVENUE</t>
  </si>
  <si>
    <t>Friday</t>
  </si>
  <si>
    <t>Saturday</t>
  </si>
  <si>
    <t>College Fees</t>
  </si>
  <si>
    <t>Head worker</t>
  </si>
  <si>
    <t xml:space="preserve"># </t>
  </si>
  <si>
    <t>Infants/Toddlers (0-5)</t>
  </si>
  <si>
    <t>Per Adult</t>
  </si>
  <si>
    <t>SWAG/Goodie Bags</t>
  </si>
  <si>
    <t>Childcare/Kid Programs</t>
  </si>
  <si>
    <t>Teens (13-17)</t>
  </si>
  <si>
    <t>Adults (18+)</t>
  </si>
  <si>
    <t>Staff Costs</t>
  </si>
  <si>
    <t>Trash</t>
  </si>
  <si>
    <t>Gratuity (15% of Staff Cost)</t>
  </si>
  <si>
    <t>Nice Plastic Plates/Utensils</t>
  </si>
  <si>
    <t>10% Discount/food cost per MSC contract</t>
  </si>
  <si>
    <t>Cups</t>
  </si>
  <si>
    <t xml:space="preserve">Pizza for Students/Set-up and Reg </t>
  </si>
  <si>
    <t>Sunday</t>
  </si>
  <si>
    <t>Assistant workers (4)</t>
  </si>
  <si>
    <t>Soda/Water</t>
  </si>
  <si>
    <t>Classmates + Adult Guests</t>
  </si>
  <si>
    <t>Amount</t>
  </si>
  <si>
    <t>Date</t>
  </si>
  <si>
    <t>Maple Street Catering</t>
  </si>
  <si>
    <t>Fixed Costs</t>
  </si>
  <si>
    <t>Snacks at tent for mid-meal periods</t>
  </si>
  <si>
    <t>Family item</t>
  </si>
  <si>
    <t>Adult item</t>
  </si>
  <si>
    <t>Photographer (Fri &amp; Sat PMs)</t>
  </si>
  <si>
    <t>Committee expenses</t>
  </si>
  <si>
    <t>Scott Hussey Photography</t>
  </si>
  <si>
    <t>Popcorn maker @ Class Tent (4 days)</t>
  </si>
  <si>
    <t>Luggage tag - to be mailed in advance</t>
  </si>
  <si>
    <t>Popcorn maker delivery &amp; pick-up</t>
  </si>
  <si>
    <t>200 donuts including delivery</t>
  </si>
  <si>
    <t>Kid item</t>
  </si>
  <si>
    <t>Neck Wallet (badge holder &amp; lanyard)</t>
  </si>
  <si>
    <t>Time Capsule Radar Search</t>
  </si>
  <si>
    <t>King Arthur Flour</t>
  </si>
  <si>
    <t>Water bottle</t>
  </si>
  <si>
    <t>Rocket ball</t>
  </si>
  <si>
    <t>Flashlight</t>
  </si>
  <si>
    <t>Sling bag</t>
  </si>
  <si>
    <t>Kids have option to eat at Kids Tents</t>
  </si>
  <si>
    <t>Kids Dine at Kids Tents</t>
  </si>
  <si>
    <t>ALL Kids Dine at Kids Tents</t>
  </si>
  <si>
    <t>Website, editing, production, shipping</t>
  </si>
  <si>
    <t>Sushi Roller</t>
  </si>
  <si>
    <t>Linen Napkins</t>
  </si>
  <si>
    <t>Linen Tablecloths</t>
  </si>
  <si>
    <t>Farewell chocolates</t>
  </si>
  <si>
    <t>Teens (13- 17)</t>
  </si>
  <si>
    <t>Reunion Press</t>
  </si>
  <si>
    <t>Name Badges - One-sided B&amp;W printing + paper</t>
  </si>
  <si>
    <t>Popcorn boxes</t>
  </si>
  <si>
    <t>Popcorn machine rental</t>
  </si>
  <si>
    <t>Memorial Service invitations &amp; mailing</t>
  </si>
  <si>
    <t>Peter DeBalli</t>
  </si>
  <si>
    <t>Supplemt. seating for Tent</t>
  </si>
  <si>
    <t>Fleece blanket</t>
  </si>
  <si>
    <t>Baseball cap 1</t>
  </si>
  <si>
    <t>Tote bag 1</t>
  </si>
  <si>
    <t>Baseball cap 2</t>
  </si>
  <si>
    <t>Tote bag 2</t>
  </si>
  <si>
    <t>Vendor</t>
  </si>
  <si>
    <t>Jessica Raymond</t>
  </si>
  <si>
    <t>Dartmouth College</t>
  </si>
  <si>
    <t>Dave Harrison</t>
  </si>
  <si>
    <t>Office Supplies for Tent &amp; Staff</t>
  </si>
  <si>
    <t>Worker tips (30%)</t>
  </si>
  <si>
    <t>Food</t>
  </si>
  <si>
    <t>The Dartmouth Aires</t>
  </si>
  <si>
    <t>Kristy Wiwczar</t>
  </si>
  <si>
    <t>Andy Peay</t>
  </si>
  <si>
    <t>paper products/utensils</t>
  </si>
  <si>
    <t>Paper tablecloths</t>
  </si>
  <si>
    <t>Linen tablecloths</t>
  </si>
  <si>
    <t>Paper Tablecloths</t>
  </si>
  <si>
    <t>Real Wine glasses &amp; other rentals</t>
  </si>
  <si>
    <t>AM Panel: Mid-Life Career Change</t>
  </si>
  <si>
    <t>PM Panel: Media &amp; the Election</t>
  </si>
  <si>
    <t>Julie Cillo</t>
  </si>
  <si>
    <t>Additional gratuity</t>
  </si>
  <si>
    <t>Rachel Johnson</t>
  </si>
  <si>
    <t>Supplemt. lighting for Tents</t>
  </si>
  <si>
    <t>Popcorn kernals</t>
  </si>
  <si>
    <t>Vinyl/Flannel-backed table cloths for tent</t>
  </si>
  <si>
    <t>Katherine Byrnes</t>
  </si>
  <si>
    <t>Description</t>
  </si>
  <si>
    <t>1061</t>
  </si>
  <si>
    <t>Catering, food</t>
  </si>
  <si>
    <t>Debit</t>
  </si>
  <si>
    <t>Deluxe checks</t>
  </si>
  <si>
    <t>Checks for reunion bank account</t>
  </si>
  <si>
    <t>1062</t>
  </si>
  <si>
    <t>Scott Husey Photography</t>
  </si>
  <si>
    <t>1063</t>
  </si>
  <si>
    <t>EBA's</t>
  </si>
  <si>
    <t>Deposit</t>
  </si>
  <si>
    <t>1064</t>
  </si>
  <si>
    <t>4IMPRINT  877-4467746  WI  01/11</t>
  </si>
  <si>
    <t>1065</t>
  </si>
  <si>
    <t>Reunion books</t>
  </si>
  <si>
    <t>1066</t>
  </si>
  <si>
    <t>Bloods Catering &amp; Party Rentals</t>
  </si>
  <si>
    <t>1067</t>
  </si>
  <si>
    <t>1068</t>
  </si>
  <si>
    <t>1069</t>
  </si>
  <si>
    <t>Catamount Subsurface Investigations</t>
  </si>
  <si>
    <t>Time capsule search</t>
  </si>
  <si>
    <t>1071</t>
  </si>
  <si>
    <t>1072</t>
  </si>
  <si>
    <t>1073</t>
  </si>
  <si>
    <t>BJ WHOLESALE</t>
  </si>
  <si>
    <t>Misc reunion items</t>
  </si>
  <si>
    <t>1074</t>
  </si>
  <si>
    <t xml:space="preserve">WAL-MART </t>
  </si>
  <si>
    <t>1077</t>
  </si>
  <si>
    <t>1075</t>
  </si>
  <si>
    <t>Yoshiko Kydd</t>
  </si>
  <si>
    <t>1081</t>
  </si>
  <si>
    <t>Tiffany Dyson</t>
  </si>
  <si>
    <t>1082</t>
  </si>
  <si>
    <t>Adina Harri</t>
  </si>
  <si>
    <t>Hanover Country Club</t>
  </si>
  <si>
    <t>Reunion golf event</t>
  </si>
  <si>
    <t>1078</t>
  </si>
  <si>
    <t>1079</t>
  </si>
  <si>
    <t>My Brigadeiro</t>
  </si>
  <si>
    <t>1080</t>
  </si>
  <si>
    <t>1084</t>
  </si>
  <si>
    <t>Kristen Wiwczar</t>
  </si>
  <si>
    <t>Reimburse Lou's Donuts</t>
  </si>
  <si>
    <t>1085</t>
  </si>
  <si>
    <t>Molly Rossmann</t>
  </si>
  <si>
    <t>1076</t>
  </si>
  <si>
    <t>North Country Auto Rental</t>
  </si>
  <si>
    <t>1070</t>
  </si>
  <si>
    <t>1083</t>
  </si>
  <si>
    <t>Reunion memorial service, breakfast</t>
  </si>
  <si>
    <t>1086</t>
  </si>
  <si>
    <t>Reimburse beer, wine purchases</t>
  </si>
  <si>
    <t>1089</t>
  </si>
  <si>
    <t>1090</t>
  </si>
  <si>
    <t>Vermont Nut Free Chocolate</t>
  </si>
  <si>
    <t>#92 Chocolates</t>
  </si>
  <si>
    <t>1223</t>
  </si>
  <si>
    <t>1224</t>
  </si>
  <si>
    <t>Reunion book final balance</t>
  </si>
  <si>
    <t>1226</t>
  </si>
  <si>
    <t>1225</t>
  </si>
  <si>
    <t>1088</t>
  </si>
  <si>
    <t>1222</t>
  </si>
  <si>
    <t>Reimburse Wed staff dinner</t>
  </si>
  <si>
    <t>1087</t>
  </si>
  <si>
    <t>William Thomas</t>
  </si>
  <si>
    <t>1227</t>
  </si>
  <si>
    <t>1228</t>
  </si>
  <si>
    <t>Total Surplus</t>
  </si>
  <si>
    <t>Reconciliation to Bank Balances</t>
  </si>
  <si>
    <t>Bank Balance (4-30-16)</t>
  </si>
  <si>
    <t>Change in Bank Balance</t>
  </si>
  <si>
    <t>QA Check</t>
  </si>
  <si>
    <t xml:space="preserve"> </t>
  </si>
  <si>
    <t>Type</t>
  </si>
  <si>
    <t>Payee</t>
  </si>
  <si>
    <t>Reunion &amp; Dues Collections</t>
  </si>
  <si>
    <t>Reunion Book Collections</t>
  </si>
  <si>
    <t>Gross Revenue</t>
  </si>
  <si>
    <t>Net Bank Deposit</t>
  </si>
  <si>
    <t>Less CC Fees</t>
  </si>
  <si>
    <t xml:space="preserve">TOTAL Reunion &amp; Dues Collections </t>
  </si>
  <si>
    <t>Dues transferred to Class Account</t>
  </si>
  <si>
    <t>Reunion Bank Acct Deposits</t>
  </si>
  <si>
    <t>Meals</t>
  </si>
  <si>
    <t>Misc</t>
  </si>
  <si>
    <t>Deposit returned on EBA shutdown</t>
  </si>
  <si>
    <t>Reunion book shipping to non-attendees</t>
  </si>
  <si>
    <t>Reimburse beverages</t>
  </si>
  <si>
    <t>Bank Balance (9-30-17)</t>
  </si>
  <si>
    <t>Deposits less Disbursements (Surplus)</t>
  </si>
  <si>
    <t>Non-Cash Classmate Donation (Wine)</t>
  </si>
  <si>
    <t>Total Reunion Revenue</t>
  </si>
  <si>
    <t>Reunion Credit Card Fees @ 2.5%</t>
  </si>
  <si>
    <t>Dartmouth Class of 1992 Reunion P&amp;L</t>
  </si>
  <si>
    <t>Reunion Bank Acct Disbursements</t>
  </si>
  <si>
    <t>Photographer at reunion</t>
  </si>
  <si>
    <t>Souvenirs - luggage tag with reunion logo</t>
  </si>
  <si>
    <t>Reimburse Memorial Service invites &amp; postage</t>
  </si>
  <si>
    <t>Chocolates for Sat night dinner</t>
  </si>
  <si>
    <t>Extra seating and lighting for Class tent</t>
  </si>
  <si>
    <t xml:space="preserve">Event - baking class </t>
  </si>
  <si>
    <t>Event - baking class - two bakers</t>
  </si>
  <si>
    <t>Reimburse souvenirs, invoice on file</t>
  </si>
  <si>
    <t>Reimburse beverages and snacks</t>
  </si>
  <si>
    <t>Band (Blackberry Bushes)</t>
  </si>
  <si>
    <t>Reimburse cups and tarp</t>
  </si>
  <si>
    <t>Reimburse for wine tasting event (food, glasses, linens)</t>
  </si>
  <si>
    <t>Reimburse Hanover Strings rental for band</t>
  </si>
  <si>
    <t>Reunion book printing and shipping to non-attendees</t>
  </si>
  <si>
    <t>Reimburse for shipping 2 committee gifts</t>
  </si>
  <si>
    <r>
      <t>Classmate refund</t>
    </r>
    <r>
      <rPr>
        <u/>
        <vertAlign val="superscript"/>
        <sz val="10"/>
        <rFont val="Arial"/>
        <family val="2"/>
      </rPr>
      <t>1</t>
    </r>
  </si>
  <si>
    <t>TOTAL</t>
  </si>
  <si>
    <t>Early 
(&lt; Apr 15)</t>
  </si>
  <si>
    <t>Late
(&lt; Jun 1)</t>
  </si>
  <si>
    <t>Registration Category</t>
  </si>
  <si>
    <t>REGISTRATION TIMING</t>
  </si>
  <si>
    <t>Reunion Registration Fees</t>
  </si>
  <si>
    <t>Dues Paid During Registration</t>
  </si>
  <si>
    <t>Reunion Golf Event</t>
  </si>
  <si>
    <t>Reunion Baking Event</t>
  </si>
  <si>
    <t>Reunion Wine Tasting Event</t>
  </si>
  <si>
    <t>Reunion Books - Non-Attendees</t>
  </si>
  <si>
    <t>Total Reunion Collections</t>
  </si>
  <si>
    <t>Less Class Dues Paid</t>
  </si>
  <si>
    <t>Friday - Breakfast at the Class Tent</t>
  </si>
  <si>
    <t>Friday - Lunch at the BEMA</t>
  </si>
  <si>
    <t>Friday - Wine Tasting - Still drinking Keg Beer?</t>
  </si>
  <si>
    <t>Saturday - Breakfast at the Class Tent</t>
  </si>
  <si>
    <t>Saturday - Lunch at Rocky Courtyard (Family Picnic)</t>
  </si>
  <si>
    <t>Saturday -  Banquet on Baker Lawn (Adults Only)</t>
  </si>
  <si>
    <t>3/1/2017 - 3/7/2017</t>
  </si>
  <si>
    <t>3/8/2017 - 3/14/2017</t>
  </si>
  <si>
    <t>3/15/2017 - 3/21/2017</t>
  </si>
  <si>
    <t>3/22/2017 - 3/28/2017</t>
  </si>
  <si>
    <t>3/29/2017 - 4/4/2017</t>
  </si>
  <si>
    <t>4/5/2017 - 4/11/2017</t>
  </si>
  <si>
    <t>4/12/2017 - 4/18/2017</t>
  </si>
  <si>
    <t>4/19/2017 - 4/25/2017</t>
  </si>
  <si>
    <t>4/26/2017 - 5/2/2017</t>
  </si>
  <si>
    <t>5/3/2017 - 5/9/2017</t>
  </si>
  <si>
    <t>5/10/2017 - 5/16/2017</t>
  </si>
  <si>
    <t>5/17/2017 - 5/23/2017</t>
  </si>
  <si>
    <t>5/24/2017 - 5/30/2017</t>
  </si>
  <si>
    <t>5/31/2017 - 6/6/2017</t>
  </si>
  <si>
    <t>6/7/2017 - 6/13/2017</t>
  </si>
  <si>
    <t>6/14/2017 - 6/17/2017</t>
  </si>
  <si>
    <t>Grand Total</t>
  </si>
  <si>
    <t>Thur - Golf at the Hanover Country Club (18 holes)</t>
  </si>
  <si>
    <t>Thur - Whoopie Pie Baking Class at King Arthur</t>
  </si>
  <si>
    <t>Thur - Welcome Reception &amp; Dinner at the Class Tent</t>
  </si>
  <si>
    <t>Friday - Dinner at CT River Waterfront (Adults Only)</t>
  </si>
  <si>
    <t>Sunday - Class Meeting &amp; Farewell Breakfast</t>
  </si>
  <si>
    <t>#</t>
  </si>
  <si>
    <t>Avg $</t>
  </si>
  <si>
    <t>Classmate Registration Refunded</t>
  </si>
  <si>
    <t>Activity</t>
  </si>
  <si>
    <t># Registered</t>
  </si>
  <si>
    <t>Revenue Breakdown</t>
  </si>
  <si>
    <t>Week Registered</t>
  </si>
  <si>
    <t>Wal-mart</t>
  </si>
  <si>
    <t>4IM Print</t>
  </si>
  <si>
    <t>Classmate Reimbursement</t>
  </si>
  <si>
    <t>Communications / Registration</t>
  </si>
  <si>
    <t>Credit Card Processing Fees</t>
  </si>
  <si>
    <t>Credit Card processing fees on registrations @ 2.5%</t>
  </si>
  <si>
    <t>Dartmouth not charge for last min registrations</t>
  </si>
  <si>
    <t>One worker was no show</t>
  </si>
  <si>
    <t>Buses to/from Riverfront for Dinner (4 hrs)</t>
  </si>
  <si>
    <t>Supplemental Van (Wed to Sun)</t>
  </si>
  <si>
    <t>Student Worker for Alcohol Van</t>
  </si>
  <si>
    <t>Bloods Catering, Party Rentals</t>
  </si>
  <si>
    <t>Paper products/utensils</t>
  </si>
  <si>
    <t>Thursday Welcome Dinner @ Tent</t>
  </si>
  <si>
    <t>Friday Breakfast @ Tent</t>
  </si>
  <si>
    <t>Friday Lunch @ Bema</t>
  </si>
  <si>
    <t>Friday Dinner @ Riverfront</t>
  </si>
  <si>
    <t>Saturday Lunch @ Rocky/Sage Courtyard</t>
  </si>
  <si>
    <t>Saturday Breakfast @ Tent</t>
  </si>
  <si>
    <t>Saturday Dinner @ Baker Lawn</t>
  </si>
  <si>
    <t>Sunday Brunch @ Tent</t>
  </si>
  <si>
    <t>Supplemental Food</t>
  </si>
  <si>
    <t>Lou's</t>
  </si>
  <si>
    <t xml:space="preserve">  </t>
  </si>
  <si>
    <t>Chocolates for Sat night</t>
  </si>
  <si>
    <t>BJ Warehouse</t>
  </si>
  <si>
    <t>Reimburse Classmate</t>
  </si>
  <si>
    <t>Beverages and snacks for workers</t>
  </si>
  <si>
    <t>Reimburse Student Worker</t>
  </si>
  <si>
    <t>Baking Class</t>
  </si>
  <si>
    <t>Golf Outing</t>
  </si>
  <si>
    <t>Evening Music @ Class Tent</t>
  </si>
  <si>
    <t>Band - Blackberry Bushes</t>
  </si>
  <si>
    <t>Wine Tasting (wine, food, glasses, linens)</t>
  </si>
  <si>
    <t>Hanover Strings</t>
  </si>
  <si>
    <t>Evening Music - PA equipment rental for Band</t>
  </si>
  <si>
    <t>Total Goodie Bag @ Reunion</t>
  </si>
  <si>
    <t>Category</t>
  </si>
  <si>
    <t>Supplemental Beverages</t>
  </si>
  <si>
    <t>Beer &amp; Wine</t>
  </si>
  <si>
    <t>Price Chopper, Walmart</t>
  </si>
  <si>
    <t>Stinsons, NH State Liquor Store</t>
  </si>
  <si>
    <t>Stinsons</t>
  </si>
  <si>
    <t>Evening Bonfire @ Riverfront - Tarp</t>
  </si>
  <si>
    <t>Checks for Reunion Bank Account</t>
  </si>
  <si>
    <t>Catamount Subsurface</t>
  </si>
  <si>
    <t>Ledyard Bank</t>
  </si>
  <si>
    <t>Dartmouth Aires</t>
  </si>
  <si>
    <t xml:space="preserve">Music @ Memorial Service </t>
  </si>
  <si>
    <t>Music @ Class Breakfast</t>
  </si>
  <si>
    <t>AM Panel: Students from Class Projects</t>
  </si>
  <si>
    <t>N/A</t>
  </si>
  <si>
    <t>Total Popcorn Machine</t>
  </si>
  <si>
    <t>Discount</t>
  </si>
  <si>
    <t>Shipping to reunion non-attendees</t>
  </si>
  <si>
    <t>Printing &amp; Shipping (reunion non-attendees)</t>
  </si>
  <si>
    <t>Category Expense</t>
  </si>
  <si>
    <t>Event Programming</t>
  </si>
  <si>
    <t>Ck 1221</t>
  </si>
  <si>
    <t>Services provided by Dartmouth</t>
  </si>
  <si>
    <t>Wine donation by Classmate</t>
  </si>
  <si>
    <t>Peay Vineyards</t>
  </si>
  <si>
    <t>Student Workers (Tent, Bartneders)</t>
  </si>
  <si>
    <t>Supplemental Tent Supplies &amp; Equipment</t>
  </si>
  <si>
    <t>Miscellaneous</t>
  </si>
  <si>
    <t>Thursday Dinner</t>
  </si>
  <si>
    <t>Friday Breakfast</t>
  </si>
  <si>
    <t>Friday Lunch</t>
  </si>
  <si>
    <t>Friday Dinner</t>
  </si>
  <si>
    <t>Saturday Breakfast</t>
  </si>
  <si>
    <t>Saturday Lunch</t>
  </si>
  <si>
    <t>Saturday Dinner</t>
  </si>
  <si>
    <t>Sunday Breakfast</t>
  </si>
  <si>
    <t>Total Meals &amp; Catering</t>
  </si>
  <si>
    <t>Event Program Costs</t>
  </si>
  <si>
    <t>Total Event Costs</t>
  </si>
  <si>
    <t>Total Supplemental Food &amp; Beverage</t>
  </si>
  <si>
    <t>Total Other Costs</t>
  </si>
  <si>
    <t>Total Reunion Expenses</t>
  </si>
  <si>
    <t>Total Reunion Surplus</t>
  </si>
  <si>
    <t>Un-refunded Registration Cancellations</t>
  </si>
  <si>
    <t>Total Registration Collections</t>
  </si>
  <si>
    <t>Transpiration costs</t>
  </si>
  <si>
    <t>Reimburse for tent tablecloths</t>
  </si>
  <si>
    <t>Reunion Financials (P&amp;L)</t>
  </si>
  <si>
    <t>Reunion Revenue and Attendance Details</t>
  </si>
  <si>
    <t>Reunion Expense Details</t>
  </si>
  <si>
    <t>Reunion Bank Account Reconcilliation</t>
  </si>
  <si>
    <t>Class of 1992 - 25th Reunion Financial Report</t>
  </si>
  <si>
    <r>
      <t>Non-Cash Classmate Donation (Wine)</t>
    </r>
    <r>
      <rPr>
        <u/>
        <vertAlign val="superscript"/>
        <sz val="10"/>
        <color theme="1"/>
        <rFont val="Arial"/>
        <family val="2"/>
      </rPr>
      <t>1</t>
    </r>
  </si>
  <si>
    <r>
      <t>Supplemental Beverages</t>
    </r>
    <r>
      <rPr>
        <u/>
        <vertAlign val="superscript"/>
        <sz val="10"/>
        <color theme="1"/>
        <rFont val="Arial"/>
        <family val="2"/>
      </rPr>
      <t>1</t>
    </r>
  </si>
  <si>
    <t>1 One of our classmates owns a vineyard and donated 200 bottles of wine for the reunion. The non-cash donation was treated as a contribution / donation (Revenue) and offsetting expense  (Supplemental Beverages) with a fair market value of $11,640.</t>
  </si>
  <si>
    <t>Greens Fee (Class Tent, College Reunion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</si>
</sst>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yy;@"/>
    <numFmt numFmtId="167" formatCode="0.0%"/>
  </numFmts>
  <fonts count="47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70C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vertAlign val="superscript"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9"/>
      <color indexed="10"/>
      <name val="Arial"/>
      <family val="2"/>
    </font>
    <font>
      <b/>
      <i/>
      <sz val="9"/>
      <color rgb="FFFF0000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b/>
      <sz val="9"/>
      <color theme="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u/>
      <sz val="14"/>
      <color theme="10"/>
      <name val="Arial"/>
      <family val="2"/>
    </font>
    <font>
      <u/>
      <vertAlign val="superscript"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theme="0"/>
      </bottom>
      <diagonal/>
    </border>
  </borders>
  <cellStyleXfs count="51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2" fillId="0" borderId="45" applyNumberFormat="0" applyFill="0" applyAlignment="0" applyProtection="0"/>
    <xf numFmtId="0" fontId="23" fillId="0" borderId="46" applyNumberFormat="0" applyFill="0" applyAlignment="0" applyProtection="0"/>
    <xf numFmtId="0" fontId="24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48" applyNumberFormat="0" applyAlignment="0" applyProtection="0"/>
    <xf numFmtId="0" fontId="28" fillId="10" borderId="49" applyNumberFormat="0" applyAlignment="0" applyProtection="0"/>
    <xf numFmtId="0" fontId="29" fillId="10" borderId="48" applyNumberFormat="0" applyAlignment="0" applyProtection="0"/>
    <xf numFmtId="0" fontId="30" fillId="0" borderId="50" applyNumberFormat="0" applyFill="0" applyAlignment="0" applyProtection="0"/>
    <xf numFmtId="0" fontId="31" fillId="11" borderId="51" applyNumberFormat="0" applyAlignment="0" applyProtection="0"/>
    <xf numFmtId="0" fontId="13" fillId="0" borderId="0" applyNumberFormat="0" applyFill="0" applyBorder="0" applyAlignment="0" applyProtection="0"/>
    <xf numFmtId="0" fontId="8" fillId="12" borderId="52" applyNumberFormat="0" applyFont="0" applyAlignment="0" applyProtection="0"/>
    <xf numFmtId="0" fontId="32" fillId="0" borderId="0" applyNumberFormat="0" applyFill="0" applyBorder="0" applyAlignment="0" applyProtection="0"/>
    <xf numFmtId="0" fontId="9" fillId="0" borderId="53" applyNumberFormat="0" applyFill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6" fillId="0" borderId="0" xfId="0" applyNumberFormat="1" applyFont="1"/>
    <xf numFmtId="166" fontId="6" fillId="0" borderId="0" xfId="0" applyNumberFormat="1" applyFont="1" applyAlignment="1">
      <alignment horizontal="center"/>
    </xf>
    <xf numFmtId="0" fontId="6" fillId="0" borderId="0" xfId="0" applyFont="1"/>
    <xf numFmtId="0" fontId="15" fillId="0" borderId="0" xfId="0" applyFont="1"/>
    <xf numFmtId="49" fontId="5" fillId="2" borderId="37" xfId="0" applyNumberFormat="1" applyFont="1" applyFill="1" applyBorder="1"/>
    <xf numFmtId="7" fontId="5" fillId="2" borderId="39" xfId="0" applyNumberFormat="1" applyFont="1" applyFill="1" applyBorder="1" applyAlignment="1">
      <alignment horizontal="center"/>
    </xf>
    <xf numFmtId="0" fontId="6" fillId="0" borderId="40" xfId="0" applyFont="1" applyBorder="1"/>
    <xf numFmtId="0" fontId="6" fillId="0" borderId="0" xfId="0" applyFont="1" applyBorder="1"/>
    <xf numFmtId="0" fontId="6" fillId="0" borderId="0" xfId="6" applyFont="1" applyFill="1" applyAlignment="1">
      <alignment horizontal="center"/>
    </xf>
    <xf numFmtId="7" fontId="16" fillId="0" borderId="0" xfId="0" applyNumberFormat="1" applyFont="1"/>
    <xf numFmtId="7" fontId="16" fillId="0" borderId="0" xfId="0" applyNumberFormat="1" applyFont="1" applyAlignment="1">
      <alignment horizontal="center"/>
    </xf>
    <xf numFmtId="7" fontId="16" fillId="0" borderId="0" xfId="0" applyNumberFormat="1" applyFont="1" applyFill="1" applyAlignment="1">
      <alignment horizontal="center"/>
    </xf>
    <xf numFmtId="167" fontId="16" fillId="0" borderId="0" xfId="3" applyNumberFormat="1" applyFont="1" applyFill="1" applyAlignment="1">
      <alignment horizontal="center"/>
    </xf>
    <xf numFmtId="167" fontId="6" fillId="0" borderId="0" xfId="3" applyNumberFormat="1" applyFont="1" applyFill="1" applyAlignment="1">
      <alignment horizontal="center"/>
    </xf>
    <xf numFmtId="7" fontId="17" fillId="0" borderId="0" xfId="0" applyNumberFormat="1" applyFont="1" applyFill="1" applyAlignment="1">
      <alignment horizontal="center"/>
    </xf>
    <xf numFmtId="167" fontId="17" fillId="0" borderId="0" xfId="3" applyNumberFormat="1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49" fontId="17" fillId="0" borderId="0" xfId="0" applyNumberFormat="1" applyFont="1" applyAlignment="1">
      <alignment horizontal="center"/>
    </xf>
    <xf numFmtId="166" fontId="18" fillId="4" borderId="37" xfId="0" applyNumberFormat="1" applyFont="1" applyFill="1" applyBorder="1" applyAlignment="1">
      <alignment horizontal="center"/>
    </xf>
    <xf numFmtId="49" fontId="18" fillId="4" borderId="38" xfId="0" applyNumberFormat="1" applyFont="1" applyFill="1" applyBorder="1" applyAlignment="1">
      <alignment horizontal="center"/>
    </xf>
    <xf numFmtId="49" fontId="18" fillId="4" borderId="38" xfId="0" applyNumberFormat="1" applyFont="1" applyFill="1" applyBorder="1"/>
    <xf numFmtId="7" fontId="18" fillId="4" borderId="38" xfId="0" applyNumberFormat="1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8" fillId="4" borderId="39" xfId="0" applyFont="1" applyFill="1" applyBorder="1" applyAlignment="1">
      <alignment horizontal="center"/>
    </xf>
    <xf numFmtId="5" fontId="16" fillId="0" borderId="0" xfId="0" applyNumberFormat="1" applyFont="1"/>
    <xf numFmtId="5" fontId="16" fillId="0" borderId="0" xfId="0" applyNumberFormat="1" applyFont="1" applyAlignment="1">
      <alignment horizontal="center"/>
    </xf>
    <xf numFmtId="49" fontId="17" fillId="0" borderId="0" xfId="0" applyNumberFormat="1" applyFont="1"/>
    <xf numFmtId="5" fontId="19" fillId="0" borderId="0" xfId="0" applyNumberFormat="1" applyFont="1" applyAlignment="1">
      <alignment horizontal="center"/>
    </xf>
    <xf numFmtId="49" fontId="19" fillId="2" borderId="37" xfId="0" applyNumberFormat="1" applyFont="1" applyFill="1" applyBorder="1"/>
    <xf numFmtId="5" fontId="19" fillId="2" borderId="39" xfId="0" applyNumberFormat="1" applyFont="1" applyFill="1" applyBorder="1" applyAlignment="1">
      <alignment horizontal="center"/>
    </xf>
    <xf numFmtId="0" fontId="18" fillId="4" borderId="38" xfId="0" applyFont="1" applyFill="1" applyBorder="1" applyAlignment="1">
      <alignment horizontal="left"/>
    </xf>
    <xf numFmtId="49" fontId="15" fillId="0" borderId="0" xfId="7" applyNumberFormat="1" applyFont="1" applyFill="1" applyAlignment="1">
      <alignment horizontal="left"/>
    </xf>
    <xf numFmtId="7" fontId="15" fillId="0" borderId="0" xfId="8" applyNumberFormat="1" applyFont="1" applyFill="1" applyAlignment="1">
      <alignment horizontal="center"/>
    </xf>
    <xf numFmtId="49" fontId="6" fillId="0" borderId="0" xfId="7" applyNumberFormat="1" applyFont="1" applyFill="1" applyAlignment="1">
      <alignment horizontal="left"/>
    </xf>
    <xf numFmtId="7" fontId="6" fillId="0" borderId="0" xfId="8" applyNumberFormat="1" applyFont="1" applyFill="1" applyAlignment="1">
      <alignment horizontal="center"/>
    </xf>
    <xf numFmtId="7" fontId="6" fillId="0" borderId="0" xfId="7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/>
    </xf>
    <xf numFmtId="0" fontId="16" fillId="0" borderId="40" xfId="0" applyFont="1" applyBorder="1"/>
    <xf numFmtId="0" fontId="16" fillId="0" borderId="0" xfId="0" applyFont="1" applyBorder="1"/>
    <xf numFmtId="7" fontId="16" fillId="0" borderId="41" xfId="0" applyNumberFormat="1" applyFont="1" applyBorder="1" applyAlignment="1">
      <alignment horizontal="center"/>
    </xf>
    <xf numFmtId="0" fontId="16" fillId="0" borderId="42" xfId="0" applyFont="1" applyBorder="1"/>
    <xf numFmtId="0" fontId="16" fillId="0" borderId="43" xfId="0" applyFont="1" applyBorder="1"/>
    <xf numFmtId="7" fontId="16" fillId="0" borderId="44" xfId="0" applyNumberFormat="1" applyFont="1" applyBorder="1" applyAlignment="1">
      <alignment horizontal="center"/>
    </xf>
    <xf numFmtId="166" fontId="18" fillId="4" borderId="39" xfId="0" applyNumberFormat="1" applyFont="1" applyFill="1" applyBorder="1" applyAlignment="1">
      <alignment horizontal="center"/>
    </xf>
    <xf numFmtId="166" fontId="18" fillId="4" borderId="37" xfId="0" applyNumberFormat="1" applyFont="1" applyFill="1" applyBorder="1" applyAlignment="1">
      <alignment horizontal="left"/>
    </xf>
    <xf numFmtId="49" fontId="18" fillId="4" borderId="39" xfId="0" applyNumberFormat="1" applyFont="1" applyFill="1" applyBorder="1" applyAlignment="1">
      <alignment horizontal="center"/>
    </xf>
    <xf numFmtId="0" fontId="17" fillId="0" borderId="0" xfId="0" applyFont="1"/>
    <xf numFmtId="5" fontId="17" fillId="0" borderId="0" xfId="0" applyNumberFormat="1" applyFont="1" applyAlignment="1">
      <alignment horizontal="center"/>
    </xf>
    <xf numFmtId="0" fontId="19" fillId="0" borderId="0" xfId="0" applyFont="1"/>
    <xf numFmtId="0" fontId="19" fillId="2" borderId="37" xfId="0" applyFont="1" applyFill="1" applyBorder="1"/>
    <xf numFmtId="49" fontId="5" fillId="5" borderId="37" xfId="0" applyNumberFormat="1" applyFont="1" applyFill="1" applyBorder="1"/>
    <xf numFmtId="7" fontId="5" fillId="5" borderId="39" xfId="0" applyNumberFormat="1" applyFont="1" applyFill="1" applyBorder="1" applyAlignment="1">
      <alignment horizontal="center"/>
    </xf>
    <xf numFmtId="7" fontId="19" fillId="2" borderId="38" xfId="0" applyNumberFormat="1" applyFont="1" applyFill="1" applyBorder="1" applyAlignment="1">
      <alignment horizontal="center"/>
    </xf>
    <xf numFmtId="7" fontId="19" fillId="2" borderId="39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8" fillId="4" borderId="1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37" fontId="16" fillId="0" borderId="9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37" fontId="19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37" fontId="19" fillId="0" borderId="8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center"/>
    </xf>
    <xf numFmtId="1" fontId="19" fillId="2" borderId="3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164" fontId="19" fillId="2" borderId="11" xfId="0" applyNumberFormat="1" applyFont="1" applyFill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37" fontId="17" fillId="0" borderId="9" xfId="0" applyNumberFormat="1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>
      <alignment horizontal="center" vertical="center"/>
    </xf>
    <xf numFmtId="37" fontId="20" fillId="0" borderId="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64" fontId="17" fillId="0" borderId="9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18" fillId="4" borderId="37" xfId="0" applyFont="1" applyFill="1" applyBorder="1" applyAlignment="1">
      <alignment vertical="center"/>
    </xf>
    <xf numFmtId="0" fontId="18" fillId="4" borderId="38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2" borderId="37" xfId="0" applyFont="1" applyFill="1" applyBorder="1" applyAlignment="1">
      <alignment vertical="center"/>
    </xf>
    <xf numFmtId="0" fontId="19" fillId="2" borderId="38" xfId="0" applyFont="1" applyFill="1" applyBorder="1" applyAlignment="1">
      <alignment vertical="center"/>
    </xf>
    <xf numFmtId="5" fontId="19" fillId="2" borderId="39" xfId="0" applyNumberFormat="1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vertical="center"/>
    </xf>
    <xf numFmtId="0" fontId="18" fillId="4" borderId="62" xfId="0" applyFont="1" applyFill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5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5" fontId="16" fillId="0" borderId="4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5" fontId="17" fillId="0" borderId="0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5" fontId="19" fillId="0" borderId="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43" xfId="0" applyFont="1" applyBorder="1" applyAlignment="1">
      <alignment vertical="center"/>
    </xf>
    <xf numFmtId="0" fontId="16" fillId="0" borderId="43" xfId="0" applyFont="1" applyBorder="1" applyAlignment="1">
      <alignment horizontal="left" vertical="center"/>
    </xf>
    <xf numFmtId="0" fontId="18" fillId="4" borderId="63" xfId="0" applyFont="1" applyFill="1" applyBorder="1" applyAlignment="1">
      <alignment horizontal="center" vertical="center"/>
    </xf>
    <xf numFmtId="0" fontId="18" fillId="4" borderId="39" xfId="0" applyFont="1" applyFill="1" applyBorder="1" applyAlignment="1">
      <alignment horizontal="center" vertical="center"/>
    </xf>
    <xf numFmtId="22" fontId="16" fillId="0" borderId="40" xfId="0" applyNumberFormat="1" applyFont="1" applyBorder="1" applyAlignment="1">
      <alignment horizontal="left" vertical="center"/>
    </xf>
    <xf numFmtId="0" fontId="16" fillId="0" borderId="41" xfId="0" applyNumberFormat="1" applyFont="1" applyBorder="1" applyAlignment="1">
      <alignment horizontal="center" vertical="center"/>
    </xf>
    <xf numFmtId="22" fontId="19" fillId="2" borderId="37" xfId="0" applyNumberFormat="1" applyFont="1" applyFill="1" applyBorder="1" applyAlignment="1">
      <alignment horizontal="left" vertical="center"/>
    </xf>
    <xf numFmtId="0" fontId="19" fillId="2" borderId="39" xfId="0" applyNumberFormat="1" applyFont="1" applyFill="1" applyBorder="1" applyAlignment="1">
      <alignment horizontal="center" vertical="center"/>
    </xf>
    <xf numFmtId="6" fontId="1" fillId="0" borderId="0" xfId="2" applyNumberFormat="1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6" fontId="11" fillId="0" borderId="0" xfId="2" applyNumberFormat="1" applyFont="1" applyAlignment="1">
      <alignment horizontal="center"/>
    </xf>
    <xf numFmtId="7" fontId="1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7" fontId="11" fillId="0" borderId="0" xfId="0" applyNumberFormat="1" applyFont="1" applyAlignment="1">
      <alignment vertical="center"/>
    </xf>
    <xf numFmtId="7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7" fontId="2" fillId="0" borderId="0" xfId="0" applyNumberFormat="1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6" fontId="2" fillId="0" borderId="0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7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8" fontId="11" fillId="0" borderId="0" xfId="0" applyNumberFormat="1" applyFont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8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7" fontId="1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7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6" fontId="1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7" fontId="14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44" fontId="11" fillId="0" borderId="0" xfId="2" applyFont="1" applyAlignment="1">
      <alignment vertical="center"/>
    </xf>
    <xf numFmtId="0" fontId="2" fillId="3" borderId="9" xfId="0" applyFont="1" applyFill="1" applyBorder="1" applyAlignment="1">
      <alignment vertical="center" wrapText="1"/>
    </xf>
    <xf numFmtId="9" fontId="2" fillId="0" borderId="0" xfId="3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65" fontId="1" fillId="0" borderId="16" xfId="0" applyNumberFormat="1" applyFont="1" applyFill="1" applyBorder="1" applyAlignment="1">
      <alignment vertical="center" wrapText="1"/>
    </xf>
    <xf numFmtId="7" fontId="2" fillId="0" borderId="19" xfId="0" applyNumberFormat="1" applyFont="1" applyFill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center" vertical="center" wrapText="1"/>
    </xf>
    <xf numFmtId="7" fontId="2" fillId="0" borderId="14" xfId="0" applyNumberFormat="1" applyFont="1" applyFill="1" applyBorder="1" applyAlignment="1">
      <alignment horizontal="center" vertical="center" wrapText="1"/>
    </xf>
    <xf numFmtId="7" fontId="2" fillId="0" borderId="6" xfId="0" applyNumberFormat="1" applyFont="1" applyBorder="1" applyAlignment="1">
      <alignment horizontal="center" vertical="center" wrapText="1"/>
    </xf>
    <xf numFmtId="7" fontId="2" fillId="0" borderId="9" xfId="0" applyNumberFormat="1" applyFont="1" applyFill="1" applyBorder="1" applyAlignment="1">
      <alignment horizontal="center" vertical="center" wrapText="1"/>
    </xf>
    <xf numFmtId="7" fontId="2" fillId="0" borderId="12" xfId="0" applyNumberFormat="1" applyFont="1" applyFill="1" applyBorder="1" applyAlignment="1">
      <alignment horizontal="center" vertical="center" wrapText="1"/>
    </xf>
    <xf numFmtId="7" fontId="2" fillId="0" borderId="2" xfId="0" applyNumberFormat="1" applyFont="1" applyBorder="1" applyAlignment="1">
      <alignment horizontal="center" vertical="center" wrapText="1"/>
    </xf>
    <xf numFmtId="7" fontId="2" fillId="0" borderId="0" xfId="0" applyNumberFormat="1" applyFont="1" applyFill="1" applyBorder="1" applyAlignment="1">
      <alignment horizontal="center" vertical="center" wrapText="1"/>
    </xf>
    <xf numFmtId="7" fontId="2" fillId="0" borderId="17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horizontal="center" vertical="center" wrapText="1"/>
    </xf>
    <xf numFmtId="7" fontId="2" fillId="0" borderId="20" xfId="0" applyNumberFormat="1" applyFont="1" applyBorder="1" applyAlignment="1">
      <alignment horizontal="center" vertical="center" wrapText="1"/>
    </xf>
    <xf numFmtId="7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7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7" fontId="1" fillId="0" borderId="9" xfId="0" applyNumberFormat="1" applyFont="1" applyFill="1" applyBorder="1" applyAlignment="1">
      <alignment horizontal="center" vertical="center" wrapText="1"/>
    </xf>
    <xf numFmtId="7" fontId="2" fillId="0" borderId="9" xfId="0" applyNumberFormat="1" applyFont="1" applyFill="1" applyBorder="1" applyAlignment="1">
      <alignment horizontal="center" vertical="center"/>
    </xf>
    <xf numFmtId="7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7" fontId="11" fillId="0" borderId="14" xfId="0" applyNumberFormat="1" applyFont="1" applyBorder="1" applyAlignment="1">
      <alignment horizontal="center" vertical="center"/>
    </xf>
    <xf numFmtId="7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7" fontId="1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7" fontId="7" fillId="0" borderId="9" xfId="0" applyNumberFormat="1" applyFont="1" applyBorder="1" applyAlignment="1">
      <alignment horizontal="center" vertical="center"/>
    </xf>
    <xf numFmtId="7" fontId="2" fillId="0" borderId="12" xfId="0" applyNumberFormat="1" applyFont="1" applyFill="1" applyBorder="1" applyAlignment="1">
      <alignment horizontal="center" vertical="center"/>
    </xf>
    <xf numFmtId="6" fontId="3" fillId="0" borderId="0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9" fontId="2" fillId="0" borderId="6" xfId="3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2" borderId="67" xfId="0" applyFont="1" applyFill="1" applyBorder="1" applyAlignment="1">
      <alignment vertical="center" wrapText="1"/>
    </xf>
    <xf numFmtId="165" fontId="1" fillId="2" borderId="68" xfId="0" applyNumberFormat="1" applyFont="1" applyFill="1" applyBorder="1" applyAlignment="1">
      <alignment vertical="center" wrapText="1"/>
    </xf>
    <xf numFmtId="6" fontId="1" fillId="2" borderId="69" xfId="2" applyNumberFormat="1" applyFont="1" applyFill="1" applyBorder="1" applyAlignment="1">
      <alignment horizontal="center" vertical="center"/>
    </xf>
    <xf numFmtId="7" fontId="2" fillId="2" borderId="70" xfId="2" applyNumberFormat="1" applyFont="1" applyFill="1" applyBorder="1" applyAlignment="1">
      <alignment horizontal="center" vertical="center" wrapText="1"/>
    </xf>
    <xf numFmtId="7" fontId="2" fillId="2" borderId="71" xfId="2" applyNumberFormat="1" applyFont="1" applyFill="1" applyBorder="1" applyAlignment="1">
      <alignment horizontal="center" vertical="center" wrapText="1"/>
    </xf>
    <xf numFmtId="44" fontId="2" fillId="2" borderId="71" xfId="2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vertical="center"/>
    </xf>
    <xf numFmtId="7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40" fillId="4" borderId="67" xfId="0" applyFont="1" applyFill="1" applyBorder="1" applyAlignment="1"/>
    <xf numFmtId="0" fontId="40" fillId="4" borderId="71" xfId="0" applyFont="1" applyFill="1" applyBorder="1" applyAlignment="1">
      <alignment wrapText="1"/>
    </xf>
    <xf numFmtId="6" fontId="40" fillId="4" borderId="71" xfId="2" applyNumberFormat="1" applyFont="1" applyFill="1" applyBorder="1" applyAlignment="1">
      <alignment horizontal="center"/>
    </xf>
    <xf numFmtId="7" fontId="40" fillId="4" borderId="77" xfId="0" applyNumberFormat="1" applyFont="1" applyFill="1" applyBorder="1" applyAlignment="1">
      <alignment horizontal="center"/>
    </xf>
    <xf numFmtId="7" fontId="40" fillId="4" borderId="78" xfId="0" applyNumberFormat="1" applyFont="1" applyFill="1" applyBorder="1" applyAlignment="1">
      <alignment horizontal="center"/>
    </xf>
    <xf numFmtId="1" fontId="40" fillId="4" borderId="78" xfId="0" applyNumberFormat="1" applyFont="1" applyFill="1" applyBorder="1" applyAlignment="1">
      <alignment horizontal="center"/>
    </xf>
    <xf numFmtId="7" fontId="40" fillId="4" borderId="74" xfId="0" applyNumberFormat="1" applyFont="1" applyFill="1" applyBorder="1" applyAlignment="1">
      <alignment horizontal="center"/>
    </xf>
    <xf numFmtId="5" fontId="11" fillId="0" borderId="0" xfId="0" applyNumberFormat="1" applyFont="1" applyAlignment="1">
      <alignment horizontal="center"/>
    </xf>
    <xf numFmtId="5" fontId="40" fillId="4" borderId="75" xfId="0" applyNumberFormat="1" applyFont="1" applyFill="1" applyBorder="1" applyAlignment="1">
      <alignment horizontal="center"/>
    </xf>
    <xf numFmtId="5" fontId="40" fillId="4" borderId="76" xfId="2" applyNumberFormat="1" applyFont="1" applyFill="1" applyBorder="1" applyAlignment="1">
      <alignment horizontal="center"/>
    </xf>
    <xf numFmtId="5" fontId="40" fillId="4" borderId="78" xfId="0" applyNumberFormat="1" applyFont="1" applyFill="1" applyBorder="1" applyAlignment="1">
      <alignment horizontal="center"/>
    </xf>
    <xf numFmtId="5" fontId="40" fillId="4" borderId="79" xfId="2" applyNumberFormat="1" applyFont="1" applyFill="1" applyBorder="1" applyAlignment="1">
      <alignment horizontal="center"/>
    </xf>
    <xf numFmtId="5" fontId="10" fillId="0" borderId="0" xfId="0" applyNumberFormat="1" applyFont="1" applyBorder="1" applyAlignment="1">
      <alignment horizontal="center" vertical="center" wrapText="1"/>
    </xf>
    <xf numFmtId="5" fontId="2" fillId="0" borderId="0" xfId="2" applyNumberFormat="1" applyFont="1" applyBorder="1" applyAlignment="1">
      <alignment horizontal="center" vertical="center" wrapText="1"/>
    </xf>
    <xf numFmtId="5" fontId="10" fillId="0" borderId="6" xfId="0" applyNumberFormat="1" applyFont="1" applyBorder="1" applyAlignment="1">
      <alignment horizontal="center" vertical="center" wrapText="1"/>
    </xf>
    <xf numFmtId="5" fontId="2" fillId="0" borderId="15" xfId="2" applyNumberFormat="1" applyFont="1" applyBorder="1" applyAlignment="1">
      <alignment horizontal="center" vertical="center" wrapText="1"/>
    </xf>
    <xf numFmtId="5" fontId="7" fillId="0" borderId="0" xfId="0" applyNumberFormat="1" applyFont="1" applyBorder="1" applyAlignment="1">
      <alignment horizontal="center" vertical="center" wrapText="1"/>
    </xf>
    <xf numFmtId="5" fontId="2" fillId="0" borderId="10" xfId="2" applyNumberFormat="1" applyFont="1" applyBorder="1" applyAlignment="1">
      <alignment horizontal="center" vertical="center" wrapText="1"/>
    </xf>
    <xf numFmtId="5" fontId="7" fillId="0" borderId="0" xfId="0" applyNumberFormat="1" applyFont="1" applyBorder="1" applyAlignment="1">
      <alignment horizontal="center" vertical="center"/>
    </xf>
    <xf numFmtId="5" fontId="2" fillId="0" borderId="16" xfId="2" applyNumberFormat="1" applyFont="1" applyBorder="1" applyAlignment="1">
      <alignment horizontal="center" vertical="center" wrapText="1"/>
    </xf>
    <xf numFmtId="5" fontId="11" fillId="0" borderId="10" xfId="2" applyNumberFormat="1" applyFont="1" applyBorder="1" applyAlignment="1">
      <alignment horizontal="center" vertical="center" wrapText="1"/>
    </xf>
    <xf numFmtId="5" fontId="1" fillId="0" borderId="16" xfId="2" applyNumberFormat="1" applyFont="1" applyFill="1" applyBorder="1" applyAlignment="1">
      <alignment horizontal="center" vertical="center"/>
    </xf>
    <xf numFmtId="5" fontId="1" fillId="0" borderId="16" xfId="2" applyNumberFormat="1" applyFont="1" applyBorder="1" applyAlignment="1">
      <alignment horizontal="center" vertical="center" wrapText="1"/>
    </xf>
    <xf numFmtId="5" fontId="38" fillId="0" borderId="0" xfId="0" applyNumberFormat="1" applyFont="1" applyBorder="1" applyAlignment="1">
      <alignment horizontal="center" vertical="center"/>
    </xf>
    <xf numFmtId="5" fontId="1" fillId="0" borderId="0" xfId="2" applyNumberFormat="1" applyFont="1" applyBorder="1" applyAlignment="1">
      <alignment horizontal="center" vertical="center" wrapText="1"/>
    </xf>
    <xf numFmtId="5" fontId="10" fillId="0" borderId="0" xfId="0" applyNumberFormat="1" applyFont="1" applyBorder="1" applyAlignment="1">
      <alignment horizontal="center" vertical="center"/>
    </xf>
    <xf numFmtId="5" fontId="1" fillId="0" borderId="10" xfId="2" applyNumberFormat="1" applyFont="1" applyBorder="1" applyAlignment="1">
      <alignment horizontal="center" vertical="center"/>
    </xf>
    <xf numFmtId="5" fontId="2" fillId="0" borderId="16" xfId="2" applyNumberFormat="1" applyFont="1" applyBorder="1" applyAlignment="1">
      <alignment horizontal="center" vertical="center"/>
    </xf>
    <xf numFmtId="5" fontId="10" fillId="0" borderId="6" xfId="0" applyNumberFormat="1" applyFont="1" applyFill="1" applyBorder="1" applyAlignment="1">
      <alignment horizontal="center" vertical="center" wrapText="1"/>
    </xf>
    <xf numFmtId="5" fontId="1" fillId="0" borderId="15" xfId="2" applyNumberFormat="1" applyFont="1" applyFill="1" applyBorder="1" applyAlignment="1">
      <alignment horizontal="center" vertical="center"/>
    </xf>
    <xf numFmtId="5" fontId="11" fillId="0" borderId="0" xfId="0" applyNumberFormat="1" applyFont="1" applyBorder="1" applyAlignment="1">
      <alignment horizontal="center" vertical="center"/>
    </xf>
    <xf numFmtId="5" fontId="12" fillId="0" borderId="0" xfId="0" applyNumberFormat="1" applyFont="1" applyBorder="1" applyAlignment="1">
      <alignment horizontal="center" vertical="center" wrapText="1"/>
    </xf>
    <xf numFmtId="5" fontId="39" fillId="0" borderId="0" xfId="0" applyNumberFormat="1" applyFont="1" applyBorder="1" applyAlignment="1">
      <alignment horizontal="center" vertical="center"/>
    </xf>
    <xf numFmtId="5" fontId="1" fillId="0" borderId="0" xfId="2" applyNumberFormat="1" applyFont="1" applyBorder="1" applyAlignment="1">
      <alignment horizontal="center" vertical="center"/>
    </xf>
    <xf numFmtId="5" fontId="12" fillId="0" borderId="10" xfId="0" applyNumberFormat="1" applyFont="1" applyBorder="1" applyAlignment="1">
      <alignment vertical="center"/>
    </xf>
    <xf numFmtId="5" fontId="11" fillId="0" borderId="0" xfId="0" applyNumberFormat="1" applyFont="1" applyBorder="1" applyAlignment="1">
      <alignment horizontal="center" vertical="center" wrapText="1"/>
    </xf>
    <xf numFmtId="5" fontId="11" fillId="0" borderId="10" xfId="0" applyNumberFormat="1" applyFont="1" applyBorder="1" applyAlignment="1">
      <alignment vertical="center"/>
    </xf>
    <xf numFmtId="5" fontId="11" fillId="0" borderId="0" xfId="0" applyNumberFormat="1" applyFont="1" applyFill="1" applyBorder="1" applyAlignment="1">
      <alignment horizontal="center" vertical="center"/>
    </xf>
    <xf numFmtId="5" fontId="11" fillId="0" borderId="10" xfId="2" applyNumberFormat="1" applyFont="1" applyBorder="1" applyAlignment="1">
      <alignment horizontal="center" vertical="center"/>
    </xf>
    <xf numFmtId="5" fontId="38" fillId="0" borderId="0" xfId="0" applyNumberFormat="1" applyFont="1" applyBorder="1" applyAlignment="1">
      <alignment horizontal="center" vertical="center" wrapText="1"/>
    </xf>
    <xf numFmtId="5" fontId="7" fillId="0" borderId="2" xfId="0" applyNumberFormat="1" applyFont="1" applyBorder="1" applyAlignment="1">
      <alignment horizontal="center" vertical="center" wrapText="1"/>
    </xf>
    <xf numFmtId="5" fontId="2" fillId="0" borderId="13" xfId="2" applyNumberFormat="1" applyFont="1" applyBorder="1" applyAlignment="1">
      <alignment horizontal="center" vertical="center" wrapText="1"/>
    </xf>
    <xf numFmtId="5" fontId="10" fillId="0" borderId="20" xfId="0" applyNumberFormat="1" applyFont="1" applyBorder="1" applyAlignment="1">
      <alignment horizontal="center" vertical="center" wrapText="1"/>
    </xf>
    <xf numFmtId="5" fontId="2" fillId="0" borderId="21" xfId="2" applyNumberFormat="1" applyFont="1" applyBorder="1" applyAlignment="1">
      <alignment horizontal="center" vertical="center" wrapText="1"/>
    </xf>
    <xf numFmtId="5" fontId="10" fillId="0" borderId="6" xfId="0" applyNumberFormat="1" applyFont="1" applyBorder="1" applyAlignment="1">
      <alignment horizontal="center" vertical="center"/>
    </xf>
    <xf numFmtId="5" fontId="12" fillId="0" borderId="15" xfId="2" applyNumberFormat="1" applyFont="1" applyBorder="1" applyAlignment="1">
      <alignment horizontal="center" vertical="center"/>
    </xf>
    <xf numFmtId="5" fontId="7" fillId="0" borderId="2" xfId="0" applyNumberFormat="1" applyFont="1" applyBorder="1" applyAlignment="1">
      <alignment horizontal="center" vertical="center"/>
    </xf>
    <xf numFmtId="5" fontId="7" fillId="0" borderId="6" xfId="0" applyNumberFormat="1" applyFont="1" applyBorder="1" applyAlignment="1">
      <alignment horizontal="center" vertical="center"/>
    </xf>
    <xf numFmtId="5" fontId="10" fillId="0" borderId="2" xfId="0" applyNumberFormat="1" applyFont="1" applyBorder="1" applyAlignment="1">
      <alignment horizontal="center" vertical="center" wrapText="1"/>
    </xf>
    <xf numFmtId="5" fontId="10" fillId="0" borderId="17" xfId="0" applyNumberFormat="1" applyFont="1" applyBorder="1" applyAlignment="1">
      <alignment horizontal="center" vertical="center" wrapText="1"/>
    </xf>
    <xf numFmtId="5" fontId="2" fillId="0" borderId="18" xfId="2" applyNumberFormat="1" applyFont="1" applyBorder="1" applyAlignment="1">
      <alignment horizontal="center" vertical="center" wrapText="1"/>
    </xf>
    <xf numFmtId="5" fontId="1" fillId="0" borderId="20" xfId="2" applyNumberFormat="1" applyFont="1" applyBorder="1" applyAlignment="1">
      <alignment horizontal="center" vertical="center" wrapText="1"/>
    </xf>
    <xf numFmtId="5" fontId="1" fillId="0" borderId="21" xfId="2" applyNumberFormat="1" applyFont="1" applyBorder="1" applyAlignment="1">
      <alignment horizontal="center" vertical="center"/>
    </xf>
    <xf numFmtId="5" fontId="2" fillId="0" borderId="32" xfId="2" applyNumberFormat="1" applyFont="1" applyBorder="1" applyAlignment="1">
      <alignment horizontal="center" vertical="center" wrapText="1"/>
    </xf>
    <xf numFmtId="5" fontId="2" fillId="0" borderId="26" xfId="2" applyNumberFormat="1" applyFont="1" applyBorder="1" applyAlignment="1">
      <alignment horizontal="center" vertical="center" wrapText="1"/>
    </xf>
    <xf numFmtId="5" fontId="11" fillId="0" borderId="25" xfId="2" applyNumberFormat="1" applyFont="1" applyBorder="1" applyAlignment="1">
      <alignment horizontal="center" vertical="center"/>
    </xf>
    <xf numFmtId="5" fontId="11" fillId="0" borderId="0" xfId="2" applyNumberFormat="1" applyFont="1" applyBorder="1" applyAlignment="1">
      <alignment horizontal="center" vertical="center"/>
    </xf>
    <xf numFmtId="5" fontId="11" fillId="0" borderId="18" xfId="2" applyNumberFormat="1" applyFont="1" applyBorder="1" applyAlignment="1">
      <alignment horizontal="center" vertical="center"/>
    </xf>
    <xf numFmtId="5" fontId="10" fillId="0" borderId="0" xfId="0" applyNumberFormat="1" applyFont="1" applyAlignment="1">
      <alignment horizontal="center"/>
    </xf>
    <xf numFmtId="5" fontId="11" fillId="0" borderId="0" xfId="2" applyNumberFormat="1" applyFont="1" applyAlignment="1">
      <alignment horizontal="center"/>
    </xf>
    <xf numFmtId="0" fontId="11" fillId="0" borderId="66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6" fontId="2" fillId="0" borderId="1" xfId="2" applyNumberFormat="1" applyFont="1" applyBorder="1" applyAlignment="1">
      <alignment horizontal="center" vertical="center" wrapText="1"/>
    </xf>
    <xf numFmtId="6" fontId="2" fillId="0" borderId="8" xfId="2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6" fontId="2" fillId="0" borderId="7" xfId="2" applyNumberFormat="1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6" fontId="1" fillId="0" borderId="1" xfId="2" applyNumberFormat="1" applyFont="1" applyFill="1" applyBorder="1" applyAlignment="1">
      <alignment horizontal="center" vertical="center"/>
    </xf>
    <xf numFmtId="6" fontId="2" fillId="0" borderId="8" xfId="2" applyNumberFormat="1" applyFont="1" applyBorder="1" applyAlignment="1">
      <alignment horizontal="center" vertical="center"/>
    </xf>
    <xf numFmtId="6" fontId="11" fillId="0" borderId="8" xfId="2" applyNumberFormat="1" applyFont="1" applyBorder="1" applyAlignment="1">
      <alignment horizontal="center" vertical="center"/>
    </xf>
    <xf numFmtId="43" fontId="12" fillId="0" borderId="1" xfId="2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7" fontId="2" fillId="0" borderId="17" xfId="0" applyNumberFormat="1" applyFont="1" applyFill="1" applyBorder="1" applyAlignment="1">
      <alignment horizontal="center" vertical="center" wrapText="1"/>
    </xf>
    <xf numFmtId="7" fontId="1" fillId="0" borderId="20" xfId="0" applyNumberFormat="1" applyFont="1" applyFill="1" applyBorder="1" applyAlignment="1">
      <alignment horizontal="center" vertical="center" wrapText="1"/>
    </xf>
    <xf numFmtId="7" fontId="2" fillId="0" borderId="0" xfId="2" applyNumberFormat="1" applyFont="1" applyFill="1" applyBorder="1" applyAlignment="1">
      <alignment horizontal="center" vertical="center" wrapText="1"/>
    </xf>
    <xf numFmtId="8" fontId="2" fillId="0" borderId="7" xfId="2" applyNumberFormat="1" applyFont="1" applyBorder="1" applyAlignment="1">
      <alignment horizontal="center" vertical="center" wrapText="1"/>
    </xf>
    <xf numFmtId="6" fontId="1" fillId="0" borderId="7" xfId="2" applyNumberFormat="1" applyFont="1" applyBorder="1" applyAlignment="1">
      <alignment horizontal="center" vertical="center"/>
    </xf>
    <xf numFmtId="6" fontId="11" fillId="0" borderId="1" xfId="2" applyNumberFormat="1" applyFont="1" applyBorder="1" applyAlignment="1">
      <alignment horizontal="center" vertical="center"/>
    </xf>
    <xf numFmtId="6" fontId="2" fillId="0" borderId="7" xfId="2" applyNumberFormat="1" applyFont="1" applyBorder="1" applyAlignment="1">
      <alignment horizontal="center" vertical="center"/>
    </xf>
    <xf numFmtId="5" fontId="10" fillId="2" borderId="71" xfId="0" applyNumberFormat="1" applyFont="1" applyFill="1" applyBorder="1" applyAlignment="1">
      <alignment horizontal="center" vertical="center" wrapText="1"/>
    </xf>
    <xf numFmtId="5" fontId="1" fillId="2" borderId="72" xfId="2" applyNumberFormat="1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vertical="center"/>
    </xf>
    <xf numFmtId="0" fontId="2" fillId="37" borderId="29" xfId="0" applyFont="1" applyFill="1" applyBorder="1" applyAlignment="1">
      <alignment vertical="center" wrapText="1"/>
    </xf>
    <xf numFmtId="165" fontId="1" fillId="37" borderId="30" xfId="0" applyNumberFormat="1" applyFont="1" applyFill="1" applyBorder="1" applyAlignment="1">
      <alignment vertical="center" wrapText="1"/>
    </xf>
    <xf numFmtId="6" fontId="1" fillId="37" borderId="64" xfId="2" applyNumberFormat="1" applyFont="1" applyFill="1" applyBorder="1" applyAlignment="1">
      <alignment horizontal="center" vertical="center"/>
    </xf>
    <xf numFmtId="7" fontId="2" fillId="37" borderId="34" xfId="0" applyNumberFormat="1" applyFont="1" applyFill="1" applyBorder="1" applyAlignment="1">
      <alignment horizontal="center" vertical="center" wrapText="1"/>
    </xf>
    <xf numFmtId="7" fontId="2" fillId="37" borderId="4" xfId="0" applyNumberFormat="1" applyFont="1" applyFill="1" applyBorder="1" applyAlignment="1">
      <alignment horizontal="center" vertical="center" wrapText="1"/>
    </xf>
    <xf numFmtId="0" fontId="2" fillId="37" borderId="4" xfId="0" applyFont="1" applyFill="1" applyBorder="1" applyAlignment="1">
      <alignment horizontal="center" vertical="center" wrapText="1"/>
    </xf>
    <xf numFmtId="5" fontId="10" fillId="37" borderId="4" xfId="0" applyNumberFormat="1" applyFont="1" applyFill="1" applyBorder="1" applyAlignment="1">
      <alignment horizontal="center" vertical="center" wrapText="1"/>
    </xf>
    <xf numFmtId="5" fontId="1" fillId="37" borderId="33" xfId="2" applyNumberFormat="1" applyFont="1" applyFill="1" applyBorder="1" applyAlignment="1">
      <alignment horizontal="center" vertical="center"/>
    </xf>
    <xf numFmtId="0" fontId="1" fillId="37" borderId="3" xfId="0" applyFont="1" applyFill="1" applyBorder="1" applyAlignment="1">
      <alignment vertical="center"/>
    </xf>
    <xf numFmtId="0" fontId="2" fillId="37" borderId="4" xfId="0" applyFont="1" applyFill="1" applyBorder="1" applyAlignment="1">
      <alignment vertical="center" wrapText="1"/>
    </xf>
    <xf numFmtId="165" fontId="1" fillId="37" borderId="33" xfId="0" applyNumberFormat="1" applyFont="1" applyFill="1" applyBorder="1" applyAlignment="1">
      <alignment vertical="center" wrapText="1"/>
    </xf>
    <xf numFmtId="6" fontId="1" fillId="37" borderId="65" xfId="2" applyNumberFormat="1" applyFont="1" applyFill="1" applyBorder="1" applyAlignment="1">
      <alignment horizontal="center" vertical="center"/>
    </xf>
    <xf numFmtId="5" fontId="1" fillId="37" borderId="5" xfId="2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vertical="center"/>
    </xf>
    <xf numFmtId="0" fontId="2" fillId="37" borderId="6" xfId="0" applyFont="1" applyFill="1" applyBorder="1" applyAlignment="1">
      <alignment vertical="center" wrapText="1"/>
    </xf>
    <xf numFmtId="165" fontId="1" fillId="37" borderId="32" xfId="0" applyNumberFormat="1" applyFont="1" applyFill="1" applyBorder="1" applyAlignment="1">
      <alignment vertical="center" wrapText="1"/>
    </xf>
    <xf numFmtId="7" fontId="2" fillId="37" borderId="31" xfId="0" applyNumberFormat="1" applyFont="1" applyFill="1" applyBorder="1" applyAlignment="1">
      <alignment horizontal="center" vertical="center" wrapText="1"/>
    </xf>
    <xf numFmtId="7" fontId="2" fillId="37" borderId="6" xfId="0" applyNumberFormat="1" applyFont="1" applyFill="1" applyBorder="1" applyAlignment="1">
      <alignment horizontal="center" vertical="center" wrapText="1"/>
    </xf>
    <xf numFmtId="0" fontId="2" fillId="37" borderId="6" xfId="0" applyFont="1" applyFill="1" applyBorder="1" applyAlignment="1">
      <alignment horizontal="center" vertical="center" wrapText="1"/>
    </xf>
    <xf numFmtId="5" fontId="10" fillId="37" borderId="6" xfId="0" applyNumberFormat="1" applyFont="1" applyFill="1" applyBorder="1" applyAlignment="1">
      <alignment horizontal="center" vertical="center" wrapText="1"/>
    </xf>
    <xf numFmtId="5" fontId="1" fillId="37" borderId="32" xfId="2" applyNumberFormat="1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vertical="center" wrapText="1"/>
    </xf>
    <xf numFmtId="7" fontId="2" fillId="37" borderId="35" xfId="0" applyNumberFormat="1" applyFont="1" applyFill="1" applyBorder="1" applyAlignment="1">
      <alignment horizontal="center" vertical="center" wrapText="1"/>
    </xf>
    <xf numFmtId="7" fontId="2" fillId="37" borderId="36" xfId="0" applyNumberFormat="1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5" fontId="10" fillId="37" borderId="36" xfId="0" applyNumberFormat="1" applyFont="1" applyFill="1" applyBorder="1" applyAlignment="1">
      <alignment horizontal="center" vertical="center" wrapText="1"/>
    </xf>
    <xf numFmtId="6" fontId="1" fillId="37" borderId="73" xfId="2" applyNumberFormat="1" applyFont="1" applyFill="1" applyBorder="1" applyAlignment="1">
      <alignment horizontal="center" vertical="center"/>
    </xf>
    <xf numFmtId="5" fontId="1" fillId="37" borderId="15" xfId="2" applyNumberFormat="1" applyFont="1" applyFill="1" applyBorder="1" applyAlignment="1">
      <alignment horizontal="center" vertical="center"/>
    </xf>
    <xf numFmtId="7" fontId="2" fillId="37" borderId="27" xfId="0" applyNumberFormat="1" applyFont="1" applyFill="1" applyBorder="1" applyAlignment="1">
      <alignment horizontal="center" vertical="center" wrapText="1"/>
    </xf>
    <xf numFmtId="7" fontId="2" fillId="37" borderId="2" xfId="0" applyNumberFormat="1" applyFont="1" applyFill="1" applyBorder="1" applyAlignment="1">
      <alignment horizontal="center" vertical="center" wrapText="1"/>
    </xf>
    <xf numFmtId="0" fontId="2" fillId="37" borderId="2" xfId="0" applyFont="1" applyFill="1" applyBorder="1" applyAlignment="1">
      <alignment horizontal="center" vertical="center" wrapText="1"/>
    </xf>
    <xf numFmtId="5" fontId="10" fillId="37" borderId="2" xfId="0" applyNumberFormat="1" applyFont="1" applyFill="1" applyBorder="1" applyAlignment="1">
      <alignment horizontal="center" vertical="center" wrapText="1"/>
    </xf>
    <xf numFmtId="5" fontId="1" fillId="37" borderId="13" xfId="2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4" fontId="16" fillId="0" borderId="0" xfId="5" applyNumberFormat="1" applyFont="1" applyFill="1" applyBorder="1" applyAlignment="1">
      <alignment horizontal="left" vertical="center"/>
    </xf>
    <xf numFmtId="7" fontId="6" fillId="0" borderId="0" xfId="6" applyNumberFormat="1" applyFont="1" applyFill="1" applyAlignment="1">
      <alignment horizontal="center" vertical="center"/>
    </xf>
    <xf numFmtId="0" fontId="6" fillId="0" borderId="0" xfId="6" applyFont="1" applyFill="1" applyAlignment="1">
      <alignment horizontal="left" vertical="center"/>
    </xf>
    <xf numFmtId="5" fontId="16" fillId="0" borderId="0" xfId="5" applyNumberFormat="1" applyFont="1" applyFill="1" applyBorder="1" applyAlignment="1">
      <alignment horizontal="left" vertical="center"/>
    </xf>
    <xf numFmtId="0" fontId="6" fillId="0" borderId="0" xfId="6" applyFont="1" applyFill="1" applyAlignment="1">
      <alignment horizontal="center" vertical="center"/>
    </xf>
    <xf numFmtId="7" fontId="16" fillId="0" borderId="0" xfId="0" applyNumberFormat="1" applyFont="1" applyAlignment="1">
      <alignment vertical="center"/>
    </xf>
    <xf numFmtId="49" fontId="6" fillId="0" borderId="0" xfId="7" applyNumberFormat="1" applyFont="1" applyAlignment="1">
      <alignment vertical="center"/>
    </xf>
    <xf numFmtId="7" fontId="6" fillId="0" borderId="0" xfId="8" applyNumberFormat="1" applyFont="1" applyAlignment="1">
      <alignment horizontal="center" vertical="center"/>
    </xf>
    <xf numFmtId="49" fontId="6" fillId="0" borderId="0" xfId="7" applyNumberFormat="1" applyFont="1" applyAlignment="1">
      <alignment horizontal="left" vertical="center"/>
    </xf>
    <xf numFmtId="7" fontId="6" fillId="0" borderId="0" xfId="8" applyNumberFormat="1" applyFont="1" applyFill="1" applyAlignment="1">
      <alignment horizontal="center" vertical="center"/>
    </xf>
    <xf numFmtId="7" fontId="6" fillId="0" borderId="0" xfId="8" applyNumberFormat="1" applyFont="1" applyFill="1" applyAlignment="1">
      <alignment horizontal="left" vertical="center"/>
    </xf>
    <xf numFmtId="49" fontId="6" fillId="0" borderId="0" xfId="7" applyNumberFormat="1" applyFont="1" applyFill="1" applyAlignment="1">
      <alignment horizontal="left" vertical="center"/>
    </xf>
    <xf numFmtId="49" fontId="6" fillId="0" borderId="0" xfId="7" applyNumberFormat="1" applyFont="1" applyFill="1" applyBorder="1" applyAlignment="1">
      <alignment horizontal="left" vertical="center"/>
    </xf>
    <xf numFmtId="49" fontId="6" fillId="0" borderId="0" xfId="7" applyNumberFormat="1" applyFont="1" applyFill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7" applyNumberFormat="1" applyFont="1" applyFill="1" applyBorder="1" applyAlignment="1">
      <alignment horizontal="left" vertical="center"/>
    </xf>
    <xf numFmtId="7" fontId="15" fillId="0" borderId="0" xfId="7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horizontal="left" vertical="center"/>
    </xf>
    <xf numFmtId="0" fontId="19" fillId="37" borderId="37" xfId="0" applyFont="1" applyFill="1" applyBorder="1"/>
    <xf numFmtId="5" fontId="19" fillId="37" borderId="39" xfId="0" applyNumberFormat="1" applyFont="1" applyFill="1" applyBorder="1" applyAlignment="1">
      <alignment horizontal="center"/>
    </xf>
    <xf numFmtId="0" fontId="41" fillId="0" borderId="0" xfId="0" applyFont="1"/>
    <xf numFmtId="0" fontId="41" fillId="0" borderId="0" xfId="0" applyFont="1" applyAlignment="1">
      <alignment vertical="center"/>
    </xf>
    <xf numFmtId="0" fontId="43" fillId="0" borderId="0" xfId="0" applyFont="1"/>
    <xf numFmtId="0" fontId="44" fillId="0" borderId="0" xfId="50" applyFont="1" applyAlignment="1">
      <alignment vertical="center"/>
    </xf>
    <xf numFmtId="0" fontId="11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16" fillId="0" borderId="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4" borderId="14" xfId="0" applyFont="1" applyFill="1" applyBorder="1" applyAlignment="1">
      <alignment horizontal="center"/>
    </xf>
    <xf numFmtId="0" fontId="18" fillId="4" borderId="6" xfId="0" applyFont="1" applyFill="1" applyBorder="1" applyAlignment="1"/>
    <xf numFmtId="0" fontId="18" fillId="4" borderId="15" xfId="0" applyFont="1" applyFill="1" applyBorder="1" applyAlignment="1"/>
    <xf numFmtId="0" fontId="18" fillId="4" borderId="62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40" fillId="4" borderId="80" xfId="0" applyFont="1" applyFill="1" applyBorder="1" applyAlignment="1">
      <alignment horizontal="center"/>
    </xf>
    <xf numFmtId="0" fontId="40" fillId="4" borderId="80" xfId="0" applyFont="1" applyFill="1" applyBorder="1" applyAlignment="1">
      <alignment horizontal="center" wrapText="1"/>
    </xf>
  </cellXfs>
  <cellStyles count="51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Calculation" xfId="17" builtinId="22" customBuiltin="1"/>
    <cellStyle name="Check Cell" xfId="19" builtinId="23" customBuiltin="1"/>
    <cellStyle name="Comma" xfId="1" builtinId="3"/>
    <cellStyle name="Currency" xfId="2" builtinId="4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50" builtinId="8"/>
    <cellStyle name="Input" xfId="15" builtinId="20" customBuiltin="1"/>
    <cellStyle name="Linked Cell" xfId="18" builtinId="24" customBuiltin="1"/>
    <cellStyle name="Neutral 2" xfId="43"/>
    <cellStyle name="Normal" xfId="0" builtinId="0"/>
    <cellStyle name="Normal 13" xfId="8"/>
    <cellStyle name="Normal 14" xfId="7"/>
    <cellStyle name="Normal 17" xfId="6"/>
    <cellStyle name="Normal 2" xfId="4"/>
    <cellStyle name="Normal 9" xfId="5"/>
    <cellStyle name="Note" xfId="21" builtinId="10" customBuiltin="1"/>
    <cellStyle name="Output" xfId="16" builtinId="21" customBuiltin="1"/>
    <cellStyle name="Percent" xfId="3" builtinId="5"/>
    <cellStyle name="Title 2" xfId="42"/>
    <cellStyle name="Total" xfId="23" builtinId="25" customBuiltin="1"/>
    <cellStyle name="Warning Text" xfId="20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B11"/>
  <sheetViews>
    <sheetView showGridLines="0" workbookViewId="0">
      <selection activeCell="D14" sqref="D14"/>
    </sheetView>
  </sheetViews>
  <sheetFormatPr defaultRowHeight="17.399999999999999" x14ac:dyDescent="0.3"/>
  <cols>
    <col min="1" max="1" width="8.88671875" style="417"/>
    <col min="2" max="2" width="45.5546875" style="417" customWidth="1"/>
    <col min="3" max="16384" width="8.88671875" style="417"/>
  </cols>
  <sheetData>
    <row r="2" spans="2:2" x14ac:dyDescent="0.3">
      <c r="B2" s="419" t="s">
        <v>363</v>
      </c>
    </row>
    <row r="3" spans="2:2" x14ac:dyDescent="0.3">
      <c r="B3" s="419"/>
    </row>
    <row r="5" spans="2:2" s="418" customFormat="1" ht="25.05" customHeight="1" x14ac:dyDescent="0.3">
      <c r="B5" s="420" t="s">
        <v>359</v>
      </c>
    </row>
    <row r="6" spans="2:2" s="418" customFormat="1" ht="25.05" customHeight="1" x14ac:dyDescent="0.3"/>
    <row r="7" spans="2:2" s="418" customFormat="1" ht="25.05" customHeight="1" x14ac:dyDescent="0.3">
      <c r="B7" s="420" t="s">
        <v>360</v>
      </c>
    </row>
    <row r="8" spans="2:2" s="418" customFormat="1" ht="25.05" customHeight="1" x14ac:dyDescent="0.3"/>
    <row r="9" spans="2:2" s="418" customFormat="1" ht="25.05" customHeight="1" x14ac:dyDescent="0.3">
      <c r="B9" s="420" t="s">
        <v>361</v>
      </c>
    </row>
    <row r="10" spans="2:2" s="418" customFormat="1" ht="25.05" customHeight="1" x14ac:dyDescent="0.3"/>
    <row r="11" spans="2:2" s="418" customFormat="1" ht="25.05" customHeight="1" x14ac:dyDescent="0.3">
      <c r="B11" s="420" t="s">
        <v>362</v>
      </c>
    </row>
  </sheetData>
  <hyperlinks>
    <hyperlink ref="B5" location="'Reunion Financials'!A1" display="Reunion Financials (P&amp;L)"/>
    <hyperlink ref="B7" location="'Rev &amp; Attendance Details'!A1" display="Reunion Revenue and Attendance Details"/>
    <hyperlink ref="B9" location="'Expense Details'!A1" display="Reunion Expense Details"/>
    <hyperlink ref="B11" location="'Bank Rec'!A1" display="Reunion Bank Account Reconcilliat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D50"/>
  <sheetViews>
    <sheetView showGridLines="0" tabSelected="1" workbookViewId="0">
      <pane ySplit="3" topLeftCell="A16" activePane="bottomLeft" state="frozen"/>
      <selection pane="bottomLeft" activeCell="B29" sqref="B29"/>
    </sheetView>
  </sheetViews>
  <sheetFormatPr defaultRowHeight="13.2" x14ac:dyDescent="0.25"/>
  <cols>
    <col min="1" max="1" width="8.88671875" style="26"/>
    <col min="2" max="2" width="44.77734375" style="26" customWidth="1"/>
    <col min="3" max="3" width="11.88671875" style="25" customWidth="1"/>
    <col min="4" max="4" width="12.109375" style="26" bestFit="1" customWidth="1"/>
    <col min="5" max="16384" width="8.88671875" style="26"/>
  </cols>
  <sheetData>
    <row r="1" spans="2:4" ht="13.8" thickBot="1" x14ac:dyDescent="0.3"/>
    <row r="2" spans="2:4" ht="13.8" thickBot="1" x14ac:dyDescent="0.3">
      <c r="B2" s="54" t="s">
        <v>209</v>
      </c>
      <c r="C2" s="55" t="s">
        <v>46</v>
      </c>
    </row>
    <row r="4" spans="2:4" s="67" customFormat="1" x14ac:dyDescent="0.25">
      <c r="B4" s="67" t="str">
        <f>'Rev &amp; Attendance Details'!B12</f>
        <v>Reunion Registration Fees</v>
      </c>
      <c r="C4" s="35">
        <f>'Rev &amp; Attendance Details'!D12+'Rev &amp; Attendance Details'!D20</f>
        <v>265185</v>
      </c>
    </row>
    <row r="5" spans="2:4" s="67" customFormat="1" x14ac:dyDescent="0.25">
      <c r="B5" s="67" t="str">
        <f>'Rev &amp; Attendance Details'!B14</f>
        <v>Reunion Golf Event</v>
      </c>
      <c r="C5" s="35">
        <f>'Rev &amp; Attendance Details'!D14</f>
        <v>260</v>
      </c>
    </row>
    <row r="6" spans="2:4" s="67" customFormat="1" x14ac:dyDescent="0.25">
      <c r="B6" s="67" t="str">
        <f>'Rev &amp; Attendance Details'!B15</f>
        <v>Reunion Baking Event</v>
      </c>
      <c r="C6" s="35">
        <f>'Rev &amp; Attendance Details'!D15</f>
        <v>877.5</v>
      </c>
    </row>
    <row r="7" spans="2:4" s="67" customFormat="1" x14ac:dyDescent="0.25">
      <c r="B7" s="67" t="str">
        <f>'Rev &amp; Attendance Details'!B16</f>
        <v>Reunion Wine Tasting Event</v>
      </c>
      <c r="C7" s="35">
        <f>'Rev &amp; Attendance Details'!D16</f>
        <v>2400</v>
      </c>
    </row>
    <row r="8" spans="2:4" s="67" customFormat="1" x14ac:dyDescent="0.25">
      <c r="B8" s="67" t="str">
        <f>'Rev &amp; Attendance Details'!B17</f>
        <v>Un-refunded Registration Cancellations</v>
      </c>
      <c r="C8" s="35">
        <f>'Rev &amp; Attendance Details'!D17</f>
        <v>2240</v>
      </c>
    </row>
    <row r="9" spans="2:4" x14ac:dyDescent="0.25">
      <c r="B9" s="67" t="str">
        <f>'Rev &amp; Attendance Details'!B19</f>
        <v>Reunion Books - Non-Attendees</v>
      </c>
      <c r="C9" s="35">
        <f>'Rev &amp; Attendance Details'!D19</f>
        <v>550</v>
      </c>
      <c r="D9" s="34"/>
    </row>
    <row r="10" spans="2:4" s="67" customFormat="1" ht="15.6" x14ac:dyDescent="0.25">
      <c r="B10" s="56" t="s">
        <v>364</v>
      </c>
      <c r="C10" s="57">
        <f>'Rev &amp; Attendance Details'!D23</f>
        <v>11640</v>
      </c>
      <c r="D10" s="34"/>
    </row>
    <row r="11" spans="2:4" ht="13.8" thickBot="1" x14ac:dyDescent="0.3">
      <c r="B11" s="56"/>
      <c r="C11" s="57"/>
    </row>
    <row r="12" spans="2:4" ht="13.8" thickBot="1" x14ac:dyDescent="0.3">
      <c r="B12" s="59" t="s">
        <v>207</v>
      </c>
      <c r="C12" s="39">
        <f>SUM(C4:C10)</f>
        <v>283152.5</v>
      </c>
    </row>
    <row r="14" spans="2:4" x14ac:dyDescent="0.25">
      <c r="B14" s="58" t="s">
        <v>208</v>
      </c>
      <c r="C14" s="37">
        <f>-'Expense Details'!J12</f>
        <v>-6819.41</v>
      </c>
    </row>
    <row r="15" spans="2:4" s="67" customFormat="1" x14ac:dyDescent="0.25">
      <c r="C15" s="35"/>
    </row>
    <row r="16" spans="2:4" s="67" customFormat="1" x14ac:dyDescent="0.25">
      <c r="B16" s="67" t="s">
        <v>340</v>
      </c>
      <c r="C16" s="35">
        <f>-'Expense Details'!I64</f>
        <v>-12565</v>
      </c>
    </row>
    <row r="17" spans="2:3" s="67" customFormat="1" x14ac:dyDescent="0.25">
      <c r="B17" s="67" t="s">
        <v>341</v>
      </c>
      <c r="C17" s="35">
        <f>-'Expense Details'!I76</f>
        <v>-7157.98</v>
      </c>
    </row>
    <row r="18" spans="2:3" s="67" customFormat="1" x14ac:dyDescent="0.25">
      <c r="B18" s="67" t="s">
        <v>342</v>
      </c>
      <c r="C18" s="35">
        <f>-'Expense Details'!I87</f>
        <v>-11040</v>
      </c>
    </row>
    <row r="19" spans="2:3" s="67" customFormat="1" x14ac:dyDescent="0.25">
      <c r="B19" s="67" t="s">
        <v>343</v>
      </c>
      <c r="C19" s="35">
        <f>-'Expense Details'!I100</f>
        <v>-21148.5</v>
      </c>
    </row>
    <row r="20" spans="2:3" s="67" customFormat="1" x14ac:dyDescent="0.25">
      <c r="B20" s="67" t="s">
        <v>344</v>
      </c>
      <c r="C20" s="35">
        <f>-'Expense Details'!I112</f>
        <v>-10906.86</v>
      </c>
    </row>
    <row r="21" spans="2:3" s="67" customFormat="1" x14ac:dyDescent="0.25">
      <c r="B21" s="67" t="s">
        <v>345</v>
      </c>
      <c r="C21" s="35">
        <f>-'Expense Details'!I123</f>
        <v>-16640.75</v>
      </c>
    </row>
    <row r="22" spans="2:3" s="67" customFormat="1" x14ac:dyDescent="0.25">
      <c r="B22" s="67" t="s">
        <v>346</v>
      </c>
      <c r="C22" s="35">
        <f>-'Expense Details'!I134</f>
        <v>-34368.699999999997</v>
      </c>
    </row>
    <row r="23" spans="2:3" s="67" customFormat="1" x14ac:dyDescent="0.25">
      <c r="B23" s="67" t="s">
        <v>347</v>
      </c>
      <c r="C23" s="35">
        <f>-'Expense Details'!I146</f>
        <v>-11280.75</v>
      </c>
    </row>
    <row r="24" spans="2:3" s="67" customFormat="1" x14ac:dyDescent="0.25">
      <c r="B24" s="67" t="s">
        <v>328</v>
      </c>
      <c r="C24" s="35">
        <f>-'Expense Details'!I150</f>
        <v>9286.02</v>
      </c>
    </row>
    <row r="25" spans="2:3" x14ac:dyDescent="0.25">
      <c r="B25" s="56" t="str">
        <f>'Expense Details'!C45</f>
        <v>Student Workers (Tent, Bartneders)</v>
      </c>
      <c r="C25" s="57">
        <f>-'Expense Details'!I45</f>
        <v>-9685</v>
      </c>
    </row>
    <row r="26" spans="2:3" s="67" customFormat="1" x14ac:dyDescent="0.25">
      <c r="B26" s="58" t="s">
        <v>348</v>
      </c>
      <c r="C26" s="37">
        <f>SUM(C16:C25)</f>
        <v>-125507.51999999999</v>
      </c>
    </row>
    <row r="27" spans="2:3" s="67" customFormat="1" x14ac:dyDescent="0.25">
      <c r="C27" s="35"/>
    </row>
    <row r="28" spans="2:3" s="67" customFormat="1" x14ac:dyDescent="0.25">
      <c r="B28" s="67" t="str">
        <f>'Expense Details'!C37</f>
        <v>Greens Fee (Class Tent, College Reunion Services)</v>
      </c>
      <c r="C28" s="35">
        <f>-'Expense Details'!I37</f>
        <v>-34523</v>
      </c>
    </row>
    <row r="29" spans="2:3" s="67" customFormat="1" x14ac:dyDescent="0.25">
      <c r="B29" s="67" t="s">
        <v>349</v>
      </c>
      <c r="C29" s="35">
        <f>-'Expense Details'!J152</f>
        <v>-6681.3899999999994</v>
      </c>
    </row>
    <row r="30" spans="2:3" x14ac:dyDescent="0.25">
      <c r="B30" s="26" t="str">
        <f>'Expense Details'!C52</f>
        <v>Childcare/Kid Programs</v>
      </c>
      <c r="C30" s="35">
        <f>-'Expense Details'!I52</f>
        <v>-31020</v>
      </c>
    </row>
    <row r="31" spans="2:3" x14ac:dyDescent="0.25">
      <c r="B31" s="56" t="str">
        <f>'Expense Details'!B201</f>
        <v>Supplemental Tent Supplies &amp; Equipment</v>
      </c>
      <c r="C31" s="57">
        <f>-'Expense Details'!J201</f>
        <v>-1244.0339999999999</v>
      </c>
    </row>
    <row r="32" spans="2:3" s="67" customFormat="1" x14ac:dyDescent="0.25">
      <c r="B32" s="58" t="s">
        <v>350</v>
      </c>
      <c r="C32" s="37">
        <f>SUM(C28:C31)</f>
        <v>-73468.423999999999</v>
      </c>
    </row>
    <row r="33" spans="2:3" s="67" customFormat="1" x14ac:dyDescent="0.25">
      <c r="C33" s="35"/>
    </row>
    <row r="34" spans="2:3" x14ac:dyDescent="0.25">
      <c r="B34" s="26" t="str">
        <f>'Expense Details'!B172</f>
        <v>Supplemental Food</v>
      </c>
      <c r="C34" s="35">
        <f>-'Expense Details'!J172</f>
        <v>-4299.08</v>
      </c>
    </row>
    <row r="35" spans="2:3" ht="15.6" x14ac:dyDescent="0.25">
      <c r="B35" s="56" t="s">
        <v>365</v>
      </c>
      <c r="C35" s="57">
        <f>-'Expense Details'!J187</f>
        <v>-16673.84</v>
      </c>
    </row>
    <row r="36" spans="2:3" s="67" customFormat="1" x14ac:dyDescent="0.25">
      <c r="B36" s="58" t="s">
        <v>351</v>
      </c>
      <c r="C36" s="37">
        <f>C34+C35</f>
        <v>-20972.92</v>
      </c>
    </row>
    <row r="37" spans="2:3" s="67" customFormat="1" x14ac:dyDescent="0.25">
      <c r="C37" s="35"/>
    </row>
    <row r="38" spans="2:3" x14ac:dyDescent="0.25">
      <c r="B38" s="26" t="str">
        <f>'Expense Details'!B194</f>
        <v>Transportation</v>
      </c>
      <c r="C38" s="35">
        <f>-'Expense Details'!J194</f>
        <v>-1760.18</v>
      </c>
    </row>
    <row r="39" spans="2:3" x14ac:dyDescent="0.25">
      <c r="B39" s="26" t="str">
        <f>'Expense Details'!B207</f>
        <v>Reunion Book</v>
      </c>
      <c r="C39" s="35">
        <f>-'Expense Details'!J207</f>
        <v>-19667.71</v>
      </c>
    </row>
    <row r="40" spans="2:3" x14ac:dyDescent="0.25">
      <c r="B40" s="26" t="str">
        <f>'Expense Details'!B5</f>
        <v>Communications / Registration</v>
      </c>
      <c r="C40" s="35">
        <f>-'Expense Details'!J5</f>
        <v>-3303.72</v>
      </c>
    </row>
    <row r="41" spans="2:3" x14ac:dyDescent="0.25">
      <c r="B41" s="26" t="str">
        <f>'Expense Details'!B16</f>
        <v>SWAG/Goodie Bags</v>
      </c>
      <c r="C41" s="35">
        <f>-'Expense Details'!J16</f>
        <v>-15692.310000000001</v>
      </c>
    </row>
    <row r="42" spans="2:3" x14ac:dyDescent="0.25">
      <c r="B42" s="56" t="str">
        <f>'Expense Details'!B213</f>
        <v>Miscellaneous</v>
      </c>
      <c r="C42" s="57">
        <f>-'Expense Details'!J213</f>
        <v>-618.15</v>
      </c>
    </row>
    <row r="43" spans="2:3" x14ac:dyDescent="0.25">
      <c r="B43" s="58" t="s">
        <v>352</v>
      </c>
      <c r="C43" s="37">
        <f>SUM(C38:C42)</f>
        <v>-41042.07</v>
      </c>
    </row>
    <row r="44" spans="2:3" ht="13.8" thickBot="1" x14ac:dyDescent="0.3"/>
    <row r="45" spans="2:3" ht="13.8" thickBot="1" x14ac:dyDescent="0.3">
      <c r="B45" s="415" t="s">
        <v>353</v>
      </c>
      <c r="C45" s="416">
        <f>C43+C36+C32+C26+C14</f>
        <v>-267810.34399999998</v>
      </c>
    </row>
    <row r="46" spans="2:3" ht="13.8" thickBot="1" x14ac:dyDescent="0.3"/>
    <row r="47" spans="2:3" ht="13.8" thickBot="1" x14ac:dyDescent="0.3">
      <c r="B47" s="59" t="s">
        <v>354</v>
      </c>
      <c r="C47" s="39">
        <f>C12+C45</f>
        <v>15342.156000000017</v>
      </c>
    </row>
    <row r="50" spans="2:3" ht="48.6" customHeight="1" x14ac:dyDescent="0.25">
      <c r="B50" s="421" t="s">
        <v>366</v>
      </c>
      <c r="C50" s="422"/>
    </row>
  </sheetData>
  <sortState ref="B31:D40">
    <sortCondition ref="C31:C40"/>
  </sortState>
  <mergeCells count="1">
    <mergeCell ref="B50:C50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P39"/>
  <sheetViews>
    <sheetView showGridLines="0" workbookViewId="0"/>
  </sheetViews>
  <sheetFormatPr defaultRowHeight="13.2" x14ac:dyDescent="0.25"/>
  <cols>
    <col min="1" max="1" width="8.88671875" style="67"/>
    <col min="2" max="2" width="25" style="67" customWidth="1"/>
    <col min="3" max="3" width="8.5546875" style="67" customWidth="1"/>
    <col min="4" max="4" width="10.5546875" style="68" customWidth="1"/>
    <col min="5" max="7" width="9.109375" style="68" bestFit="1" customWidth="1"/>
    <col min="8" max="8" width="8.88671875" style="68"/>
    <col min="9" max="11" width="9.109375" style="66" bestFit="1" customWidth="1"/>
    <col min="12" max="12" width="8.88671875" style="68"/>
    <col min="13" max="13" width="9.33203125" style="68" customWidth="1"/>
    <col min="14" max="15" width="9" style="68" bestFit="1" customWidth="1"/>
    <col min="16" max="16" width="10.33203125" style="66" customWidth="1"/>
    <col min="17" max="16384" width="8.88671875" style="67"/>
  </cols>
  <sheetData>
    <row r="2" spans="2:16" x14ac:dyDescent="0.25">
      <c r="D2" s="427" t="s">
        <v>231</v>
      </c>
      <c r="E2" s="428"/>
      <c r="F2" s="428"/>
      <c r="G2" s="429"/>
      <c r="I2" s="96"/>
      <c r="J2" s="97" t="s">
        <v>22</v>
      </c>
      <c r="K2" s="98"/>
      <c r="M2" s="427" t="s">
        <v>23</v>
      </c>
      <c r="N2" s="428"/>
      <c r="O2" s="428"/>
      <c r="P2" s="429"/>
    </row>
    <row r="3" spans="2:16" s="71" customFormat="1" ht="26.4" x14ac:dyDescent="0.3">
      <c r="B3" s="69" t="s">
        <v>230</v>
      </c>
      <c r="D3" s="93" t="s">
        <v>228</v>
      </c>
      <c r="E3" s="94" t="s">
        <v>1</v>
      </c>
      <c r="F3" s="95" t="s">
        <v>229</v>
      </c>
      <c r="G3" s="92" t="s">
        <v>2</v>
      </c>
      <c r="H3" s="75"/>
      <c r="I3" s="99" t="s">
        <v>0</v>
      </c>
      <c r="J3" s="100" t="s">
        <v>1</v>
      </c>
      <c r="K3" s="101" t="s">
        <v>4</v>
      </c>
      <c r="L3" s="75"/>
      <c r="M3" s="93" t="s">
        <v>0</v>
      </c>
      <c r="N3" s="94" t="s">
        <v>1</v>
      </c>
      <c r="O3" s="95" t="s">
        <v>4</v>
      </c>
      <c r="P3" s="92" t="s">
        <v>227</v>
      </c>
    </row>
    <row r="4" spans="2:16" s="71" customFormat="1" ht="17.55" customHeight="1" x14ac:dyDescent="0.3">
      <c r="B4" s="70" t="s">
        <v>45</v>
      </c>
      <c r="D4" s="72">
        <v>349</v>
      </c>
      <c r="E4" s="73">
        <v>60</v>
      </c>
      <c r="F4" s="73">
        <v>58</v>
      </c>
      <c r="G4" s="74">
        <f>SUM(D4:F4)</f>
        <v>467</v>
      </c>
      <c r="H4" s="75"/>
      <c r="I4" s="76">
        <v>460</v>
      </c>
      <c r="J4" s="77">
        <v>490</v>
      </c>
      <c r="K4" s="78">
        <v>500</v>
      </c>
      <c r="L4" s="75"/>
      <c r="M4" s="76">
        <f>D4*I4</f>
        <v>160540</v>
      </c>
      <c r="N4" s="79">
        <f t="shared" ref="N4:O4" si="0">E4*J4</f>
        <v>29400</v>
      </c>
      <c r="O4" s="79">
        <f t="shared" si="0"/>
        <v>29000</v>
      </c>
      <c r="P4" s="80">
        <f>(D4*I4)+(E4*J4)+(F4*K4)</f>
        <v>218940</v>
      </c>
    </row>
    <row r="5" spans="2:16" s="71" customFormat="1" ht="17.55" customHeight="1" x14ac:dyDescent="0.3">
      <c r="B5" s="81" t="s">
        <v>76</v>
      </c>
      <c r="D5" s="72">
        <v>88</v>
      </c>
      <c r="E5" s="73">
        <v>9</v>
      </c>
      <c r="F5" s="73">
        <v>5</v>
      </c>
      <c r="G5" s="82">
        <f>SUM(D5:F5)</f>
        <v>102</v>
      </c>
      <c r="H5" s="75"/>
      <c r="I5" s="76">
        <v>210</v>
      </c>
      <c r="J5" s="77">
        <v>250</v>
      </c>
      <c r="K5" s="78">
        <v>275</v>
      </c>
      <c r="L5" s="75"/>
      <c r="M5" s="76">
        <f t="shared" ref="M5:M7" si="1">D5*I5</f>
        <v>18480</v>
      </c>
      <c r="N5" s="79">
        <f t="shared" ref="N5:N7" si="2">E5*J5</f>
        <v>2250</v>
      </c>
      <c r="O5" s="79">
        <f t="shared" ref="O5:O7" si="3">F5*K5</f>
        <v>1375</v>
      </c>
      <c r="P5" s="80">
        <f>(D5*I5)+(E5*J5)+(F5*K5)</f>
        <v>22105</v>
      </c>
    </row>
    <row r="6" spans="2:16" s="71" customFormat="1" ht="17.55" customHeight="1" x14ac:dyDescent="0.3">
      <c r="B6" s="81" t="s">
        <v>3</v>
      </c>
      <c r="D6" s="72">
        <v>113</v>
      </c>
      <c r="E6" s="73">
        <v>11</v>
      </c>
      <c r="F6" s="73">
        <v>7</v>
      </c>
      <c r="G6" s="82">
        <f>SUM(D6:F6)</f>
        <v>131</v>
      </c>
      <c r="H6" s="75"/>
      <c r="I6" s="76">
        <v>190</v>
      </c>
      <c r="J6" s="77">
        <v>215</v>
      </c>
      <c r="K6" s="78">
        <v>225</v>
      </c>
      <c r="L6" s="75"/>
      <c r="M6" s="76">
        <f t="shared" si="1"/>
        <v>21470</v>
      </c>
      <c r="N6" s="79">
        <f t="shared" si="2"/>
        <v>2365</v>
      </c>
      <c r="O6" s="79">
        <f t="shared" si="3"/>
        <v>1575</v>
      </c>
      <c r="P6" s="80">
        <f>(D6*I6)+(E6*J6)+(F6*K6)</f>
        <v>25410</v>
      </c>
    </row>
    <row r="7" spans="2:16" s="103" customFormat="1" ht="17.55" customHeight="1" x14ac:dyDescent="0.3">
      <c r="B7" s="102" t="s">
        <v>29</v>
      </c>
      <c r="D7" s="104">
        <v>10</v>
      </c>
      <c r="E7" s="105">
        <v>0</v>
      </c>
      <c r="F7" s="105">
        <v>1</v>
      </c>
      <c r="G7" s="106">
        <f>SUM(D7:F7)</f>
        <v>11</v>
      </c>
      <c r="H7" s="107"/>
      <c r="I7" s="108">
        <v>0</v>
      </c>
      <c r="J7" s="109">
        <v>0</v>
      </c>
      <c r="K7" s="110">
        <v>0</v>
      </c>
      <c r="L7" s="107"/>
      <c r="M7" s="108">
        <f t="shared" si="1"/>
        <v>0</v>
      </c>
      <c r="N7" s="111">
        <f t="shared" si="2"/>
        <v>0</v>
      </c>
      <c r="O7" s="111">
        <f t="shared" si="3"/>
        <v>0</v>
      </c>
      <c r="P7" s="112">
        <f>(D7*I7)+(E7*J7)+(F7*K7)</f>
        <v>0</v>
      </c>
    </row>
    <row r="8" spans="2:16" s="71" customFormat="1" ht="17.55" customHeight="1" x14ac:dyDescent="0.3">
      <c r="B8" s="83" t="s">
        <v>2</v>
      </c>
      <c r="D8" s="84">
        <f>SUM(D4:D7)</f>
        <v>560</v>
      </c>
      <c r="E8" s="85">
        <f>SUM(E4:E7)</f>
        <v>80</v>
      </c>
      <c r="F8" s="86">
        <f>SUM(F4:F7)</f>
        <v>71</v>
      </c>
      <c r="G8" s="87">
        <f>SUM(G4:G7)</f>
        <v>711</v>
      </c>
      <c r="H8" s="75"/>
      <c r="I8" s="88">
        <f>M8/D8</f>
        <v>358.01785714285717</v>
      </c>
      <c r="J8" s="89">
        <f>N8/E8</f>
        <v>425.1875</v>
      </c>
      <c r="K8" s="90">
        <f>O8/F8</f>
        <v>450</v>
      </c>
      <c r="L8" s="75"/>
      <c r="M8" s="88">
        <f>SUM(M4:M7)</f>
        <v>200490</v>
      </c>
      <c r="N8" s="89">
        <f t="shared" ref="N8:O8" si="4">SUM(N4:N7)</f>
        <v>34015</v>
      </c>
      <c r="O8" s="90">
        <f t="shared" si="4"/>
        <v>31950</v>
      </c>
      <c r="P8" s="91">
        <f>SUM(P4:P7)</f>
        <v>266455</v>
      </c>
    </row>
    <row r="10" spans="2:16" ht="13.8" thickBot="1" x14ac:dyDescent="0.3"/>
    <row r="11" spans="2:16" s="71" customFormat="1" ht="17.55" customHeight="1" thickBot="1" x14ac:dyDescent="0.35">
      <c r="B11" s="119" t="s">
        <v>273</v>
      </c>
      <c r="C11" s="120"/>
      <c r="D11" s="136" t="s">
        <v>46</v>
      </c>
      <c r="E11" s="136" t="s">
        <v>268</v>
      </c>
      <c r="F11" s="142" t="s">
        <v>269</v>
      </c>
      <c r="G11" s="75"/>
      <c r="H11" s="75"/>
      <c r="I11" s="113" t="s">
        <v>274</v>
      </c>
      <c r="J11" s="114"/>
      <c r="K11" s="143" t="s">
        <v>268</v>
      </c>
      <c r="L11" s="75"/>
      <c r="M11" s="75"/>
      <c r="N11" s="75"/>
      <c r="O11" s="75"/>
      <c r="P11" s="115"/>
    </row>
    <row r="12" spans="2:16" s="71" customFormat="1" ht="17.55" customHeight="1" x14ac:dyDescent="0.3">
      <c r="B12" s="121" t="s">
        <v>232</v>
      </c>
      <c r="C12" s="122"/>
      <c r="D12" s="123">
        <f>P8</f>
        <v>266455</v>
      </c>
      <c r="E12" s="124">
        <f>G8</f>
        <v>711</v>
      </c>
      <c r="F12" s="125">
        <f>D12/E12</f>
        <v>374.76090014064698</v>
      </c>
      <c r="G12" s="75"/>
      <c r="H12" s="75"/>
      <c r="I12" s="144" t="s">
        <v>246</v>
      </c>
      <c r="J12" s="126"/>
      <c r="K12" s="145">
        <v>202</v>
      </c>
      <c r="L12" s="75"/>
      <c r="M12" s="75"/>
      <c r="N12" s="75"/>
      <c r="O12" s="75"/>
      <c r="P12" s="115"/>
    </row>
    <row r="13" spans="2:16" s="71" customFormat="1" ht="17.55" customHeight="1" x14ac:dyDescent="0.3">
      <c r="B13" s="121" t="s">
        <v>233</v>
      </c>
      <c r="C13" s="122"/>
      <c r="D13" s="123">
        <v>8220</v>
      </c>
      <c r="E13" s="126">
        <v>137</v>
      </c>
      <c r="F13" s="125">
        <f>D13/E13</f>
        <v>60</v>
      </c>
      <c r="G13" s="75"/>
      <c r="H13" s="75"/>
      <c r="I13" s="144" t="s">
        <v>247</v>
      </c>
      <c r="J13" s="122"/>
      <c r="K13" s="145">
        <v>91</v>
      </c>
      <c r="L13" s="75"/>
      <c r="M13" s="75"/>
      <c r="N13" s="75"/>
      <c r="O13" s="75"/>
      <c r="P13" s="115"/>
    </row>
    <row r="14" spans="2:16" s="71" customFormat="1" ht="17.55" customHeight="1" x14ac:dyDescent="0.3">
      <c r="B14" s="121" t="s">
        <v>234</v>
      </c>
      <c r="C14" s="122"/>
      <c r="D14" s="123">
        <v>260</v>
      </c>
      <c r="E14" s="126">
        <v>4</v>
      </c>
      <c r="F14" s="125">
        <f t="shared" ref="F14:F17" si="5">D14/E14</f>
        <v>65</v>
      </c>
      <c r="G14" s="75"/>
      <c r="H14" s="75"/>
      <c r="I14" s="144" t="s">
        <v>248</v>
      </c>
      <c r="J14" s="122"/>
      <c r="K14" s="145">
        <v>42</v>
      </c>
      <c r="L14" s="75"/>
      <c r="M14" s="75"/>
      <c r="N14" s="75"/>
      <c r="O14" s="75"/>
      <c r="P14" s="115"/>
    </row>
    <row r="15" spans="2:16" s="71" customFormat="1" ht="17.55" customHeight="1" x14ac:dyDescent="0.3">
      <c r="B15" s="121" t="s">
        <v>235</v>
      </c>
      <c r="C15" s="122"/>
      <c r="D15" s="123">
        <v>877.5</v>
      </c>
      <c r="E15" s="126">
        <v>13</v>
      </c>
      <c r="F15" s="125">
        <f t="shared" si="5"/>
        <v>67.5</v>
      </c>
      <c r="G15" s="75"/>
      <c r="H15" s="75"/>
      <c r="I15" s="144" t="s">
        <v>249</v>
      </c>
      <c r="J15" s="122"/>
      <c r="K15" s="145">
        <v>23</v>
      </c>
      <c r="L15" s="75"/>
      <c r="M15" s="75"/>
      <c r="N15" s="75"/>
      <c r="O15" s="75"/>
      <c r="P15" s="115"/>
    </row>
    <row r="16" spans="2:16" s="71" customFormat="1" ht="17.55" customHeight="1" x14ac:dyDescent="0.3">
      <c r="B16" s="121" t="s">
        <v>236</v>
      </c>
      <c r="C16" s="122"/>
      <c r="D16" s="123">
        <v>2400</v>
      </c>
      <c r="E16" s="126">
        <v>40</v>
      </c>
      <c r="F16" s="125">
        <f t="shared" si="5"/>
        <v>60</v>
      </c>
      <c r="G16" s="75"/>
      <c r="H16" s="75"/>
      <c r="I16" s="144" t="s">
        <v>250</v>
      </c>
      <c r="J16" s="122"/>
      <c r="K16" s="145">
        <v>48</v>
      </c>
      <c r="L16" s="75"/>
      <c r="M16" s="75"/>
      <c r="N16" s="75"/>
      <c r="O16" s="75"/>
      <c r="P16" s="115"/>
    </row>
    <row r="17" spans="2:16" s="71" customFormat="1" ht="17.55" customHeight="1" x14ac:dyDescent="0.3">
      <c r="B17" s="127" t="s">
        <v>355</v>
      </c>
      <c r="C17" s="128"/>
      <c r="D17" s="129">
        <f>SUM('Bank Rec'!E4:E10)-SUM(D12:D16)</f>
        <v>2240</v>
      </c>
      <c r="E17" s="126">
        <v>9</v>
      </c>
      <c r="F17" s="125">
        <f t="shared" si="5"/>
        <v>248.88888888888889</v>
      </c>
      <c r="G17" s="75"/>
      <c r="H17" s="75"/>
      <c r="I17" s="144" t="s">
        <v>251</v>
      </c>
      <c r="J17" s="122"/>
      <c r="K17" s="145">
        <v>107</v>
      </c>
      <c r="L17" s="75"/>
      <c r="M17" s="75"/>
      <c r="N17" s="75"/>
      <c r="O17" s="75"/>
      <c r="P17" s="115"/>
    </row>
    <row r="18" spans="2:16" s="71" customFormat="1" ht="17.55" customHeight="1" x14ac:dyDescent="0.3">
      <c r="B18" s="130" t="s">
        <v>356</v>
      </c>
      <c r="C18" s="131"/>
      <c r="D18" s="132">
        <f>SUM(D12:D17)</f>
        <v>280452.5</v>
      </c>
      <c r="E18" s="126"/>
      <c r="F18" s="133"/>
      <c r="G18" s="75"/>
      <c r="H18" s="75"/>
      <c r="I18" s="144" t="s">
        <v>252</v>
      </c>
      <c r="J18" s="122"/>
      <c r="K18" s="145">
        <v>61</v>
      </c>
      <c r="L18" s="75"/>
      <c r="M18" s="75"/>
      <c r="N18" s="75"/>
      <c r="O18" s="75"/>
      <c r="P18" s="115"/>
    </row>
    <row r="19" spans="2:16" s="71" customFormat="1" ht="17.55" customHeight="1" x14ac:dyDescent="0.3">
      <c r="B19" s="121" t="s">
        <v>237</v>
      </c>
      <c r="C19" s="122"/>
      <c r="D19" s="123">
        <f>'Bank Rec'!E11+'Bank Rec'!E12</f>
        <v>550</v>
      </c>
      <c r="E19" s="126"/>
      <c r="F19" s="133"/>
      <c r="G19" s="75"/>
      <c r="H19" s="75"/>
      <c r="I19" s="144" t="s">
        <v>253</v>
      </c>
      <c r="J19" s="122"/>
      <c r="K19" s="145">
        <v>5</v>
      </c>
      <c r="L19" s="75"/>
      <c r="M19" s="75"/>
      <c r="N19" s="75"/>
      <c r="O19" s="75"/>
      <c r="P19" s="115"/>
    </row>
    <row r="20" spans="2:16" s="71" customFormat="1" ht="17.55" customHeight="1" x14ac:dyDescent="0.3">
      <c r="B20" s="121" t="s">
        <v>270</v>
      </c>
      <c r="C20" s="122"/>
      <c r="D20" s="123">
        <f>'Bank Rec'!E13</f>
        <v>-1270</v>
      </c>
      <c r="E20" s="126"/>
      <c r="F20" s="133"/>
      <c r="G20" s="75"/>
      <c r="H20" s="75"/>
      <c r="I20" s="144" t="s">
        <v>254</v>
      </c>
      <c r="J20" s="122"/>
      <c r="K20" s="145">
        <v>13</v>
      </c>
      <c r="L20" s="75"/>
      <c r="M20" s="75"/>
      <c r="N20" s="75"/>
      <c r="O20" s="75"/>
      <c r="P20" s="115"/>
    </row>
    <row r="21" spans="2:16" s="71" customFormat="1" ht="17.55" customHeight="1" x14ac:dyDescent="0.3">
      <c r="B21" s="127" t="s">
        <v>239</v>
      </c>
      <c r="C21" s="128"/>
      <c r="D21" s="129">
        <f>-D13</f>
        <v>-8220</v>
      </c>
      <c r="E21" s="126"/>
      <c r="F21" s="133"/>
      <c r="G21" s="75"/>
      <c r="H21" s="75"/>
      <c r="I21" s="144" t="s">
        <v>255</v>
      </c>
      <c r="J21" s="122"/>
      <c r="K21" s="145">
        <v>14</v>
      </c>
      <c r="L21" s="75"/>
      <c r="M21" s="75"/>
      <c r="N21" s="75"/>
      <c r="O21" s="75"/>
      <c r="P21" s="115"/>
    </row>
    <row r="22" spans="2:16" s="71" customFormat="1" ht="17.55" customHeight="1" x14ac:dyDescent="0.3">
      <c r="B22" s="130" t="s">
        <v>238</v>
      </c>
      <c r="C22" s="131"/>
      <c r="D22" s="132">
        <f>SUM(D18:D21)</f>
        <v>271512.5</v>
      </c>
      <c r="E22" s="126"/>
      <c r="F22" s="133"/>
      <c r="G22" s="75"/>
      <c r="H22" s="75"/>
      <c r="I22" s="144" t="s">
        <v>256</v>
      </c>
      <c r="J22" s="122"/>
      <c r="K22" s="145">
        <v>12</v>
      </c>
      <c r="L22" s="75"/>
      <c r="M22" s="75"/>
      <c r="N22" s="75"/>
      <c r="O22" s="75"/>
      <c r="P22" s="115"/>
    </row>
    <row r="23" spans="2:16" s="71" customFormat="1" ht="17.55" customHeight="1" thickBot="1" x14ac:dyDescent="0.35">
      <c r="B23" s="127" t="s">
        <v>206</v>
      </c>
      <c r="C23" s="128"/>
      <c r="D23" s="129">
        <v>11640</v>
      </c>
      <c r="E23" s="126"/>
      <c r="F23" s="133"/>
      <c r="G23" s="75"/>
      <c r="H23" s="75"/>
      <c r="I23" s="144" t="s">
        <v>257</v>
      </c>
      <c r="J23" s="122"/>
      <c r="K23" s="145">
        <v>10</v>
      </c>
      <c r="L23" s="75"/>
      <c r="M23" s="75"/>
      <c r="N23" s="75"/>
      <c r="O23" s="75"/>
      <c r="P23" s="115"/>
    </row>
    <row r="24" spans="2:16" s="71" customFormat="1" ht="17.55" customHeight="1" thickBot="1" x14ac:dyDescent="0.35">
      <c r="B24" s="116" t="s">
        <v>207</v>
      </c>
      <c r="C24" s="117"/>
      <c r="D24" s="118">
        <f>D22+D23</f>
        <v>283152.5</v>
      </c>
      <c r="E24" s="134"/>
      <c r="F24" s="135"/>
      <c r="G24" s="75"/>
      <c r="H24" s="75"/>
      <c r="I24" s="144" t="s">
        <v>258</v>
      </c>
      <c r="J24" s="122"/>
      <c r="K24" s="145">
        <v>10</v>
      </c>
      <c r="L24" s="75"/>
      <c r="M24" s="75"/>
      <c r="N24" s="75"/>
      <c r="O24" s="75"/>
      <c r="P24" s="115"/>
    </row>
    <row r="25" spans="2:16" s="71" customFormat="1" ht="17.55" customHeight="1" thickBot="1" x14ac:dyDescent="0.35">
      <c r="D25" s="75"/>
      <c r="E25" s="75"/>
      <c r="F25" s="75"/>
      <c r="G25" s="75"/>
      <c r="H25" s="75"/>
      <c r="I25" s="144" t="s">
        <v>259</v>
      </c>
      <c r="J25" s="122"/>
      <c r="K25" s="145">
        <v>20</v>
      </c>
      <c r="L25" s="75"/>
      <c r="M25" s="75"/>
      <c r="N25" s="75"/>
      <c r="O25" s="75"/>
      <c r="P25" s="115"/>
    </row>
    <row r="26" spans="2:16" s="71" customFormat="1" ht="17.55" customHeight="1" x14ac:dyDescent="0.3">
      <c r="B26" s="119" t="s">
        <v>271</v>
      </c>
      <c r="C26" s="120"/>
      <c r="D26" s="120" t="s">
        <v>188</v>
      </c>
      <c r="E26" s="430" t="s">
        <v>272</v>
      </c>
      <c r="F26" s="431"/>
      <c r="G26" s="75"/>
      <c r="H26" s="75"/>
      <c r="I26" s="144" t="s">
        <v>260</v>
      </c>
      <c r="J26" s="126"/>
      <c r="K26" s="145">
        <v>27</v>
      </c>
      <c r="L26" s="75"/>
      <c r="M26" s="75"/>
      <c r="N26" s="75"/>
      <c r="O26" s="75"/>
      <c r="P26" s="115"/>
    </row>
    <row r="27" spans="2:16" s="71" customFormat="1" ht="17.55" customHeight="1" thickBot="1" x14ac:dyDescent="0.35">
      <c r="B27" s="137" t="s">
        <v>263</v>
      </c>
      <c r="C27" s="122"/>
      <c r="D27" s="138"/>
      <c r="E27" s="423">
        <v>4</v>
      </c>
      <c r="F27" s="424"/>
      <c r="G27" s="75"/>
      <c r="H27" s="75"/>
      <c r="I27" s="144" t="s">
        <v>261</v>
      </c>
      <c r="J27" s="122"/>
      <c r="K27" s="145">
        <v>26</v>
      </c>
      <c r="L27" s="75"/>
      <c r="M27" s="75"/>
      <c r="N27" s="75"/>
      <c r="O27" s="75"/>
      <c r="P27" s="115"/>
    </row>
    <row r="28" spans="2:16" s="71" customFormat="1" ht="17.55" customHeight="1" thickBot="1" x14ac:dyDescent="0.35">
      <c r="B28" s="137" t="s">
        <v>264</v>
      </c>
      <c r="C28" s="122"/>
      <c r="D28" s="138"/>
      <c r="E28" s="423">
        <v>13</v>
      </c>
      <c r="F28" s="424"/>
      <c r="G28" s="75"/>
      <c r="H28" s="75"/>
      <c r="I28" s="146" t="s">
        <v>262</v>
      </c>
      <c r="J28" s="117"/>
      <c r="K28" s="147">
        <v>711</v>
      </c>
      <c r="L28" s="75"/>
      <c r="M28" s="75"/>
      <c r="N28" s="75"/>
      <c r="O28" s="75"/>
      <c r="P28" s="115"/>
    </row>
    <row r="29" spans="2:16" s="71" customFormat="1" ht="17.55" customHeight="1" x14ac:dyDescent="0.3">
      <c r="B29" s="137" t="s">
        <v>265</v>
      </c>
      <c r="C29" s="122"/>
      <c r="D29" s="138"/>
      <c r="E29" s="423">
        <v>421</v>
      </c>
      <c r="F29" s="424"/>
      <c r="G29" s="75"/>
      <c r="H29" s="75"/>
      <c r="I29" s="115"/>
      <c r="K29" s="115"/>
      <c r="L29" s="75"/>
      <c r="M29" s="75"/>
      <c r="N29" s="75"/>
      <c r="O29" s="75"/>
      <c r="P29" s="115"/>
    </row>
    <row r="30" spans="2:16" s="71" customFormat="1" ht="17.55" customHeight="1" x14ac:dyDescent="0.3">
      <c r="B30" s="137" t="s">
        <v>240</v>
      </c>
      <c r="C30" s="122"/>
      <c r="D30" s="138"/>
      <c r="E30" s="423">
        <v>438</v>
      </c>
      <c r="F30" s="424"/>
      <c r="G30" s="75"/>
      <c r="H30" s="75"/>
      <c r="I30" s="115"/>
      <c r="K30" s="115"/>
      <c r="L30" s="75"/>
      <c r="M30" s="75"/>
      <c r="N30" s="75"/>
      <c r="O30" s="75"/>
      <c r="P30" s="115"/>
    </row>
    <row r="31" spans="2:16" s="71" customFormat="1" ht="17.55" customHeight="1" x14ac:dyDescent="0.3">
      <c r="B31" s="137" t="s">
        <v>241</v>
      </c>
      <c r="C31" s="122"/>
      <c r="D31" s="138"/>
      <c r="E31" s="423">
        <v>542</v>
      </c>
      <c r="F31" s="424"/>
      <c r="G31" s="75"/>
      <c r="H31" s="75"/>
      <c r="I31" s="115"/>
      <c r="K31" s="115"/>
      <c r="L31" s="75"/>
      <c r="M31" s="75"/>
      <c r="N31" s="75"/>
      <c r="O31" s="75"/>
      <c r="P31" s="115"/>
    </row>
    <row r="32" spans="2:16" s="71" customFormat="1" ht="17.55" customHeight="1" x14ac:dyDescent="0.3">
      <c r="B32" s="137" t="s">
        <v>242</v>
      </c>
      <c r="C32" s="122"/>
      <c r="D32" s="138"/>
      <c r="E32" s="423">
        <v>40</v>
      </c>
      <c r="F32" s="424"/>
      <c r="G32" s="75"/>
      <c r="H32" s="75"/>
      <c r="I32" s="115"/>
      <c r="K32" s="115"/>
      <c r="L32" s="75"/>
      <c r="M32" s="75"/>
      <c r="N32" s="75"/>
      <c r="O32" s="75"/>
      <c r="P32" s="115"/>
    </row>
    <row r="33" spans="2:16" s="71" customFormat="1" ht="17.55" customHeight="1" x14ac:dyDescent="0.3">
      <c r="B33" s="137" t="s">
        <v>266</v>
      </c>
      <c r="C33" s="122"/>
      <c r="D33" s="138"/>
      <c r="E33" s="423">
        <v>417</v>
      </c>
      <c r="F33" s="424"/>
      <c r="G33" s="75"/>
      <c r="H33" s="75"/>
      <c r="I33" s="115"/>
      <c r="K33" s="115"/>
      <c r="L33" s="75"/>
      <c r="M33" s="75"/>
      <c r="N33" s="75"/>
      <c r="O33" s="75"/>
      <c r="P33" s="115"/>
    </row>
    <row r="34" spans="2:16" s="71" customFormat="1" ht="17.55" customHeight="1" x14ac:dyDescent="0.3">
      <c r="B34" s="137" t="s">
        <v>243</v>
      </c>
      <c r="C34" s="122"/>
      <c r="D34" s="138"/>
      <c r="E34" s="423">
        <v>576</v>
      </c>
      <c r="F34" s="424"/>
      <c r="G34" s="75"/>
      <c r="H34" s="75"/>
      <c r="I34" s="115"/>
      <c r="K34" s="115"/>
      <c r="L34" s="75"/>
      <c r="M34" s="75"/>
      <c r="N34" s="75"/>
      <c r="O34" s="75"/>
      <c r="P34" s="115"/>
    </row>
    <row r="35" spans="2:16" s="71" customFormat="1" ht="17.55" customHeight="1" x14ac:dyDescent="0.3">
      <c r="B35" s="137" t="s">
        <v>244</v>
      </c>
      <c r="C35" s="122"/>
      <c r="D35" s="138"/>
      <c r="E35" s="423">
        <v>640</v>
      </c>
      <c r="F35" s="424"/>
      <c r="G35" s="75"/>
      <c r="H35" s="75"/>
      <c r="I35" s="115"/>
      <c r="K35" s="115"/>
      <c r="L35" s="75"/>
      <c r="M35" s="75"/>
      <c r="N35" s="75"/>
      <c r="O35" s="75"/>
      <c r="P35" s="115"/>
    </row>
    <row r="36" spans="2:16" s="71" customFormat="1" ht="17.55" customHeight="1" x14ac:dyDescent="0.3">
      <c r="B36" s="137" t="s">
        <v>245</v>
      </c>
      <c r="C36" s="122"/>
      <c r="D36" s="138"/>
      <c r="E36" s="423">
        <v>426</v>
      </c>
      <c r="F36" s="424"/>
      <c r="G36" s="75"/>
      <c r="H36" s="75"/>
      <c r="I36" s="115"/>
      <c r="K36" s="115"/>
      <c r="L36" s="75"/>
      <c r="M36" s="75"/>
      <c r="N36" s="75"/>
      <c r="O36" s="75"/>
      <c r="P36" s="115"/>
    </row>
    <row r="37" spans="2:16" s="71" customFormat="1" ht="17.55" customHeight="1" thickBot="1" x14ac:dyDescent="0.35">
      <c r="B37" s="139" t="s">
        <v>267</v>
      </c>
      <c r="C37" s="140"/>
      <c r="D37" s="141"/>
      <c r="E37" s="425">
        <v>616</v>
      </c>
      <c r="F37" s="426"/>
      <c r="G37" s="75"/>
      <c r="H37" s="75"/>
      <c r="I37" s="115"/>
      <c r="K37" s="115"/>
      <c r="L37" s="75"/>
      <c r="M37" s="75"/>
      <c r="N37" s="75"/>
      <c r="O37" s="75"/>
      <c r="P37" s="115"/>
    </row>
    <row r="38" spans="2:16" s="71" customFormat="1" ht="17.55" customHeight="1" x14ac:dyDescent="0.25">
      <c r="B38" s="67"/>
      <c r="C38" s="67"/>
      <c r="D38" s="68"/>
      <c r="E38" s="68"/>
      <c r="F38" s="68"/>
      <c r="G38" s="75"/>
      <c r="H38" s="75"/>
      <c r="I38" s="115"/>
      <c r="K38" s="115"/>
      <c r="L38" s="75"/>
      <c r="M38" s="75"/>
      <c r="N38" s="75"/>
      <c r="O38" s="75"/>
      <c r="P38" s="115"/>
    </row>
    <row r="39" spans="2:16" x14ac:dyDescent="0.25">
      <c r="I39" s="115"/>
      <c r="J39" s="115"/>
      <c r="K39" s="115"/>
    </row>
  </sheetData>
  <mergeCells count="14">
    <mergeCell ref="M2:P2"/>
    <mergeCell ref="D2:G2"/>
    <mergeCell ref="E26:F26"/>
    <mergeCell ref="E27:F27"/>
    <mergeCell ref="E28:F28"/>
    <mergeCell ref="E34:F34"/>
    <mergeCell ref="E35:F35"/>
    <mergeCell ref="E36:F36"/>
    <mergeCell ref="E37:F37"/>
    <mergeCell ref="E29:F29"/>
    <mergeCell ref="E30:F30"/>
    <mergeCell ref="E31:F31"/>
    <mergeCell ref="E32:F32"/>
    <mergeCell ref="E33:F33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219"/>
  <sheetViews>
    <sheetView showGridLines="0" zoomScaleNormal="100" zoomScaleSheetLayoutView="90" workbookViewId="0">
      <pane ySplit="4" topLeftCell="A29" activePane="bottomLeft" state="frozen"/>
      <selection pane="bottomLeft" activeCell="C38" sqref="C38"/>
    </sheetView>
  </sheetViews>
  <sheetFormatPr defaultColWidth="8.88671875" defaultRowHeight="11.4" x14ac:dyDescent="0.2"/>
  <cols>
    <col min="1" max="1" width="2.77734375" style="64" customWidth="1"/>
    <col min="2" max="2" width="5.21875" style="64" customWidth="1"/>
    <col min="3" max="3" width="10" style="64" customWidth="1"/>
    <col min="4" max="4" width="35.33203125" style="64" customWidth="1"/>
    <col min="5" max="5" width="26.21875" style="152" customWidth="1"/>
    <col min="6" max="6" width="13.33203125" style="153" customWidth="1"/>
    <col min="7" max="7" width="15.6640625" style="153" customWidth="1"/>
    <col min="8" max="8" width="15.6640625" style="150" customWidth="1"/>
    <col min="9" max="9" width="15.6640625" style="333" customWidth="1"/>
    <col min="10" max="10" width="12.5546875" style="334" customWidth="1"/>
    <col min="11" max="11" width="13" style="64" bestFit="1" customWidth="1"/>
    <col min="12" max="12" width="12" style="64" bestFit="1" customWidth="1"/>
    <col min="13" max="13" width="11" style="64" bestFit="1" customWidth="1"/>
    <col min="14" max="14" width="10.6640625" style="64" bestFit="1" customWidth="1"/>
    <col min="15" max="15" width="11.6640625" style="64" bestFit="1" customWidth="1"/>
    <col min="16" max="16384" width="8.88671875" style="64"/>
  </cols>
  <sheetData>
    <row r="1" spans="1:15" ht="12.6" thickBot="1" x14ac:dyDescent="0.3">
      <c r="B1" s="149"/>
      <c r="C1" s="2"/>
      <c r="D1" s="3"/>
      <c r="E1" s="274"/>
      <c r="I1" s="282"/>
      <c r="J1" s="282"/>
      <c r="K1" s="151"/>
    </row>
    <row r="2" spans="1:15" ht="15" customHeight="1" thickBot="1" x14ac:dyDescent="0.3">
      <c r="B2" s="2"/>
      <c r="C2" s="2"/>
      <c r="D2" s="3"/>
      <c r="E2" s="148"/>
      <c r="F2" s="281"/>
      <c r="G2" s="432" t="s">
        <v>5</v>
      </c>
      <c r="H2" s="433"/>
      <c r="I2" s="283" t="s">
        <v>6</v>
      </c>
      <c r="J2" s="284" t="s">
        <v>312</v>
      </c>
    </row>
    <row r="3" spans="1:15" ht="15" customHeight="1" thickBot="1" x14ac:dyDescent="0.3">
      <c r="B3" s="275" t="s">
        <v>331</v>
      </c>
      <c r="C3" s="276"/>
      <c r="D3" s="276"/>
      <c r="E3" s="277" t="s">
        <v>89</v>
      </c>
      <c r="F3" s="278" t="s">
        <v>49</v>
      </c>
      <c r="G3" s="279" t="s">
        <v>7</v>
      </c>
      <c r="H3" s="280" t="s">
        <v>28</v>
      </c>
      <c r="I3" s="285" t="s">
        <v>8</v>
      </c>
      <c r="J3" s="286" t="s">
        <v>2</v>
      </c>
    </row>
    <row r="4" spans="1:15" s="154" customFormat="1" ht="13.5" customHeight="1" x14ac:dyDescent="0.3">
      <c r="B4" s="178"/>
      <c r="C4" s="178"/>
      <c r="D4" s="178"/>
      <c r="E4" s="159"/>
      <c r="F4" s="230"/>
      <c r="G4" s="170"/>
      <c r="H4" s="165"/>
      <c r="I4" s="287"/>
      <c r="J4" s="288"/>
    </row>
    <row r="5" spans="1:15" s="154" customFormat="1" ht="13.5" customHeight="1" x14ac:dyDescent="0.3">
      <c r="B5" s="369" t="s">
        <v>278</v>
      </c>
      <c r="C5" s="370"/>
      <c r="D5" s="371"/>
      <c r="E5" s="372"/>
      <c r="F5" s="364"/>
      <c r="G5" s="365"/>
      <c r="H5" s="366"/>
      <c r="I5" s="367"/>
      <c r="J5" s="373">
        <f>SUM(I7:I10)</f>
        <v>3303.72</v>
      </c>
    </row>
    <row r="6" spans="1:15" s="154" customFormat="1" ht="13.5" customHeight="1" x14ac:dyDescent="0.3">
      <c r="B6" s="161"/>
      <c r="C6" s="178"/>
      <c r="D6" s="163"/>
      <c r="E6" s="159"/>
      <c r="F6" s="227"/>
      <c r="G6" s="170"/>
      <c r="H6" s="165"/>
      <c r="I6" s="287"/>
      <c r="J6" s="292"/>
    </row>
    <row r="7" spans="1:15" s="154" customFormat="1" ht="13.5" customHeight="1" x14ac:dyDescent="0.3">
      <c r="B7" s="161"/>
      <c r="C7" s="162" t="s">
        <v>19</v>
      </c>
      <c r="D7" s="163"/>
      <c r="E7" s="164" t="s">
        <v>91</v>
      </c>
      <c r="F7" s="227">
        <v>2962.14</v>
      </c>
      <c r="G7" s="170"/>
      <c r="H7" s="165"/>
      <c r="I7" s="291">
        <f>+F7</f>
        <v>2962.14</v>
      </c>
      <c r="J7" s="292"/>
    </row>
    <row r="8" spans="1:15" s="154" customFormat="1" ht="13.5" customHeight="1" x14ac:dyDescent="0.3">
      <c r="B8" s="161"/>
      <c r="C8" s="186" t="s">
        <v>81</v>
      </c>
      <c r="D8" s="335"/>
      <c r="E8" s="336" t="s">
        <v>277</v>
      </c>
      <c r="F8" s="223">
        <f>I8</f>
        <v>23.92</v>
      </c>
      <c r="G8" s="170"/>
      <c r="H8" s="165"/>
      <c r="I8" s="293">
        <v>23.92</v>
      </c>
      <c r="J8" s="294"/>
    </row>
    <row r="9" spans="1:15" s="154" customFormat="1" ht="13.5" customHeight="1" x14ac:dyDescent="0.3">
      <c r="B9" s="161"/>
      <c r="C9" s="162" t="s">
        <v>93</v>
      </c>
      <c r="D9" s="163"/>
      <c r="E9" s="164" t="s">
        <v>275</v>
      </c>
      <c r="F9" s="227">
        <v>85.96</v>
      </c>
      <c r="G9" s="170"/>
      <c r="H9" s="165"/>
      <c r="I9" s="293">
        <f>F9</f>
        <v>85.96</v>
      </c>
      <c r="J9" s="292"/>
    </row>
    <row r="10" spans="1:15" s="154" customFormat="1" ht="13.5" customHeight="1" x14ac:dyDescent="0.3">
      <c r="B10" s="161"/>
      <c r="C10" s="162" t="s">
        <v>78</v>
      </c>
      <c r="D10" s="168"/>
      <c r="E10" s="164" t="s">
        <v>91</v>
      </c>
      <c r="F10" s="227"/>
      <c r="G10" s="170">
        <v>0.35</v>
      </c>
      <c r="H10" s="171">
        <v>662</v>
      </c>
      <c r="I10" s="293">
        <f>G10*H10</f>
        <v>231.7</v>
      </c>
      <c r="J10" s="295"/>
      <c r="K10" s="154" t="s">
        <v>188</v>
      </c>
    </row>
    <row r="11" spans="1:15" s="154" customFormat="1" ht="13.5" customHeight="1" x14ac:dyDescent="0.3">
      <c r="B11" s="161"/>
      <c r="C11" s="178"/>
      <c r="D11" s="163"/>
      <c r="E11" s="175"/>
      <c r="F11" s="227"/>
      <c r="G11" s="170"/>
      <c r="H11" s="165"/>
      <c r="I11" s="287"/>
      <c r="J11" s="292"/>
    </row>
    <row r="12" spans="1:15" s="154" customFormat="1" ht="13.5" customHeight="1" x14ac:dyDescent="0.3">
      <c r="B12" s="360" t="s">
        <v>279</v>
      </c>
      <c r="C12" s="361"/>
      <c r="D12" s="362"/>
      <c r="E12" s="363" t="s">
        <v>188</v>
      </c>
      <c r="F12" s="364"/>
      <c r="G12" s="365"/>
      <c r="H12" s="366"/>
      <c r="I12" s="367"/>
      <c r="J12" s="368">
        <f>I14</f>
        <v>6819.41</v>
      </c>
    </row>
    <row r="13" spans="1:15" s="154" customFormat="1" ht="13.5" customHeight="1" x14ac:dyDescent="0.3">
      <c r="B13" s="156"/>
      <c r="C13" s="157"/>
      <c r="D13" s="158"/>
      <c r="E13" s="159"/>
      <c r="F13" s="225"/>
      <c r="G13" s="226"/>
      <c r="H13" s="160"/>
      <c r="I13" s="289"/>
      <c r="J13" s="290"/>
      <c r="K13" s="166"/>
      <c r="O13" s="155"/>
    </row>
    <row r="14" spans="1:15" s="154" customFormat="1" ht="13.5" customHeight="1" x14ac:dyDescent="0.3">
      <c r="A14" s="208"/>
      <c r="B14" s="209"/>
      <c r="C14" s="206" t="s">
        <v>280</v>
      </c>
      <c r="D14" s="222"/>
      <c r="E14" s="164" t="s">
        <v>91</v>
      </c>
      <c r="F14" s="224"/>
      <c r="G14" s="230"/>
      <c r="H14" s="211"/>
      <c r="I14" s="291">
        <f>-'Bank Rec'!F16</f>
        <v>6819.41</v>
      </c>
      <c r="J14" s="296"/>
    </row>
    <row r="15" spans="1:15" s="177" customFormat="1" ht="13.5" customHeight="1" x14ac:dyDescent="0.3">
      <c r="B15" s="161"/>
      <c r="C15" s="178"/>
      <c r="D15" s="163"/>
      <c r="E15" s="175"/>
      <c r="F15" s="224"/>
      <c r="G15" s="170"/>
      <c r="H15" s="165"/>
      <c r="I15" s="291"/>
      <c r="J15" s="294"/>
    </row>
    <row r="16" spans="1:15" s="154" customFormat="1" ht="13.5" customHeight="1" x14ac:dyDescent="0.3">
      <c r="B16" s="374" t="s">
        <v>31</v>
      </c>
      <c r="C16" s="375"/>
      <c r="D16" s="376"/>
      <c r="E16" s="363"/>
      <c r="F16" s="377"/>
      <c r="G16" s="378"/>
      <c r="H16" s="379"/>
      <c r="I16" s="380"/>
      <c r="J16" s="381">
        <f>I18+I31</f>
        <v>15692.310000000001</v>
      </c>
      <c r="K16" s="166"/>
      <c r="O16" s="155">
        <f>SUM(O4:O15)</f>
        <v>0</v>
      </c>
    </row>
    <row r="17" spans="2:15" s="154" customFormat="1" ht="13.5" customHeight="1" x14ac:dyDescent="0.3">
      <c r="B17" s="156"/>
      <c r="C17" s="157"/>
      <c r="D17" s="158"/>
      <c r="E17" s="159"/>
      <c r="F17" s="225"/>
      <c r="G17" s="226"/>
      <c r="H17" s="160"/>
      <c r="I17" s="289"/>
      <c r="J17" s="290"/>
      <c r="K17" s="166"/>
    </row>
    <row r="18" spans="2:15" s="154" customFormat="1" ht="13.5" customHeight="1" x14ac:dyDescent="0.3">
      <c r="B18" s="161"/>
      <c r="C18" s="162" t="s">
        <v>51</v>
      </c>
      <c r="D18" s="163" t="s">
        <v>57</v>
      </c>
      <c r="E18" s="175" t="s">
        <v>276</v>
      </c>
      <c r="F18" s="224">
        <f>55+45.14</f>
        <v>100.14</v>
      </c>
      <c r="G18" s="179">
        <v>1.08</v>
      </c>
      <c r="H18" s="180">
        <v>1100</v>
      </c>
      <c r="I18" s="293">
        <f>(G18*H18)+F18</f>
        <v>1288.1400000000001</v>
      </c>
      <c r="J18" s="297" t="s">
        <v>188</v>
      </c>
    </row>
    <row r="19" spans="2:15" s="154" customFormat="1" ht="13.5" customHeight="1" x14ac:dyDescent="0.3">
      <c r="B19" s="161"/>
      <c r="C19" s="162"/>
      <c r="D19" s="163"/>
      <c r="E19" s="175"/>
      <c r="F19" s="224"/>
      <c r="G19" s="179"/>
      <c r="H19" s="180"/>
      <c r="I19" s="293"/>
      <c r="J19" s="294"/>
    </row>
    <row r="20" spans="2:15" s="154" customFormat="1" ht="13.5" customHeight="1" x14ac:dyDescent="0.3">
      <c r="B20" s="161"/>
      <c r="C20" s="162" t="s">
        <v>51</v>
      </c>
      <c r="D20" s="163" t="s">
        <v>61</v>
      </c>
      <c r="E20" s="175"/>
      <c r="F20" s="224">
        <f>29.73+14.86</f>
        <v>44.59</v>
      </c>
      <c r="G20" s="179">
        <f>0.9*1.69</f>
        <v>1.5209999999999999</v>
      </c>
      <c r="H20" s="180">
        <v>750</v>
      </c>
      <c r="I20" s="293">
        <f>826.23+395.11</f>
        <v>1221.3400000000001</v>
      </c>
      <c r="J20" s="294"/>
    </row>
    <row r="21" spans="2:15" s="154" customFormat="1" ht="13.5" customHeight="1" x14ac:dyDescent="0.3">
      <c r="B21" s="161"/>
      <c r="C21" s="162" t="s">
        <v>52</v>
      </c>
      <c r="D21" s="163" t="s">
        <v>84</v>
      </c>
      <c r="E21" s="175"/>
      <c r="F21" s="224">
        <v>478.27</v>
      </c>
      <c r="G21" s="179">
        <f>0.9*11.75</f>
        <v>10.575000000000001</v>
      </c>
      <c r="H21" s="180">
        <v>500</v>
      </c>
      <c r="I21" s="293">
        <v>5765.77</v>
      </c>
      <c r="J21" s="294"/>
    </row>
    <row r="22" spans="2:15" s="154" customFormat="1" ht="13.5" customHeight="1" x14ac:dyDescent="0.3">
      <c r="B22" s="161"/>
      <c r="C22" s="162" t="s">
        <v>52</v>
      </c>
      <c r="D22" s="163" t="s">
        <v>85</v>
      </c>
      <c r="E22" s="175"/>
      <c r="F22" s="224">
        <v>77.010000000000005</v>
      </c>
      <c r="G22" s="179">
        <f>0.9*5</f>
        <v>4.5</v>
      </c>
      <c r="H22" s="180">
        <f>255</f>
        <v>255</v>
      </c>
      <c r="I22" s="293">
        <v>1224.51</v>
      </c>
      <c r="J22" s="294"/>
    </row>
    <row r="23" spans="2:15" s="154" customFormat="1" ht="13.5" customHeight="1" x14ac:dyDescent="0.3">
      <c r="B23" s="161"/>
      <c r="C23" s="162" t="s">
        <v>52</v>
      </c>
      <c r="D23" s="163" t="s">
        <v>87</v>
      </c>
      <c r="E23" s="175"/>
      <c r="F23" s="224">
        <v>77.010000000000005</v>
      </c>
      <c r="G23" s="179">
        <f>0.9*5</f>
        <v>4.5</v>
      </c>
      <c r="H23" s="180">
        <f>255</f>
        <v>255</v>
      </c>
      <c r="I23" s="293">
        <v>1224.51</v>
      </c>
      <c r="J23" s="294"/>
    </row>
    <row r="24" spans="2:15" s="154" customFormat="1" ht="13.5" customHeight="1" x14ac:dyDescent="0.3">
      <c r="B24" s="161"/>
      <c r="C24" s="162" t="s">
        <v>52</v>
      </c>
      <c r="D24" s="163" t="s">
        <v>86</v>
      </c>
      <c r="E24" s="175"/>
      <c r="F24" s="224">
        <v>95.13</v>
      </c>
      <c r="G24" s="179">
        <f>0.9*1.65</f>
        <v>1.4849999999999999</v>
      </c>
      <c r="H24" s="180">
        <v>250</v>
      </c>
      <c r="I24" s="293">
        <v>462.38</v>
      </c>
      <c r="J24" s="294"/>
    </row>
    <row r="25" spans="2:15" s="154" customFormat="1" ht="13.5" customHeight="1" x14ac:dyDescent="0.3">
      <c r="B25" s="161"/>
      <c r="C25" s="162" t="s">
        <v>52</v>
      </c>
      <c r="D25" s="163" t="s">
        <v>88</v>
      </c>
      <c r="E25" s="175"/>
      <c r="F25" s="224">
        <v>55.13</v>
      </c>
      <c r="G25" s="179">
        <f>0.9*1.65</f>
        <v>1.4849999999999999</v>
      </c>
      <c r="H25" s="180">
        <v>250</v>
      </c>
      <c r="I25" s="293">
        <v>426.38</v>
      </c>
      <c r="J25" s="294"/>
    </row>
    <row r="26" spans="2:15" s="154" customFormat="1" ht="13.5" customHeight="1" x14ac:dyDescent="0.3">
      <c r="B26" s="161"/>
      <c r="C26" s="162" t="s">
        <v>52</v>
      </c>
      <c r="D26" s="163" t="s">
        <v>64</v>
      </c>
      <c r="E26" s="175"/>
      <c r="F26" s="224">
        <v>148.74</v>
      </c>
      <c r="G26" s="179">
        <f>0.9*3.05</f>
        <v>2.7450000000000001</v>
      </c>
      <c r="H26" s="180">
        <v>500</v>
      </c>
      <c r="I26" s="293">
        <v>1516.24</v>
      </c>
      <c r="J26" s="294"/>
      <c r="O26" s="181">
        <f>L51-O16</f>
        <v>0</v>
      </c>
    </row>
    <row r="27" spans="2:15" s="154" customFormat="1" ht="13.5" customHeight="1" x14ac:dyDescent="0.3">
      <c r="B27" s="161"/>
      <c r="C27" s="162" t="s">
        <v>60</v>
      </c>
      <c r="D27" s="163" t="s">
        <v>65</v>
      </c>
      <c r="E27" s="175"/>
      <c r="F27" s="224">
        <v>167.08</v>
      </c>
      <c r="G27" s="179">
        <f>0.9*2.91</f>
        <v>2.6190000000000002</v>
      </c>
      <c r="H27" s="180">
        <v>251</v>
      </c>
      <c r="I27" s="293">
        <v>824.45</v>
      </c>
      <c r="J27" s="294"/>
    </row>
    <row r="28" spans="2:15" s="154" customFormat="1" ht="13.5" customHeight="1" x14ac:dyDescent="0.3">
      <c r="B28" s="161"/>
      <c r="C28" s="162" t="s">
        <v>60</v>
      </c>
      <c r="D28" s="182" t="s">
        <v>66</v>
      </c>
      <c r="E28" s="175"/>
      <c r="F28" s="224">
        <v>97.58</v>
      </c>
      <c r="G28" s="179">
        <f>0.9*2.62</f>
        <v>2.3580000000000001</v>
      </c>
      <c r="H28" s="180">
        <v>251</v>
      </c>
      <c r="I28" s="293">
        <v>683.94</v>
      </c>
      <c r="J28" s="294"/>
    </row>
    <row r="29" spans="2:15" s="154" customFormat="1" ht="13.5" customHeight="1" x14ac:dyDescent="0.3">
      <c r="B29" s="161"/>
      <c r="C29" s="162" t="s">
        <v>60</v>
      </c>
      <c r="D29" s="163" t="s">
        <v>64</v>
      </c>
      <c r="E29" s="175"/>
      <c r="F29" s="224">
        <v>49.37</v>
      </c>
      <c r="G29" s="179">
        <f>0.9*3.05</f>
        <v>2.7450000000000001</v>
      </c>
      <c r="H29" s="180">
        <v>250</v>
      </c>
      <c r="I29" s="293">
        <v>735.62</v>
      </c>
      <c r="J29" s="294"/>
    </row>
    <row r="30" spans="2:15" s="154" customFormat="1" ht="13.5" customHeight="1" x14ac:dyDescent="0.3">
      <c r="B30" s="161"/>
      <c r="C30" s="237" t="s">
        <v>60</v>
      </c>
      <c r="D30" s="194" t="s">
        <v>67</v>
      </c>
      <c r="E30" s="256"/>
      <c r="F30" s="224">
        <v>71.28</v>
      </c>
      <c r="G30" s="179">
        <f>0.9*1.11</f>
        <v>0.99900000000000011</v>
      </c>
      <c r="H30" s="180">
        <v>252</v>
      </c>
      <c r="I30" s="298">
        <v>319.02999999999997</v>
      </c>
      <c r="J30" s="294"/>
    </row>
    <row r="31" spans="2:15" s="199" customFormat="1" ht="13.5" customHeight="1" x14ac:dyDescent="0.3">
      <c r="B31" s="240"/>
      <c r="C31" s="162" t="s">
        <v>311</v>
      </c>
      <c r="D31" s="163"/>
      <c r="E31" s="175" t="s">
        <v>277</v>
      </c>
      <c r="F31" s="224"/>
      <c r="G31" s="179"/>
      <c r="H31" s="180"/>
      <c r="I31" s="288">
        <f>SUM(I20:I30)</f>
        <v>14404.170000000002</v>
      </c>
      <c r="J31" s="294"/>
    </row>
    <row r="32" spans="2:15" s="154" customFormat="1" ht="13.5" customHeight="1" x14ac:dyDescent="0.3">
      <c r="B32" s="161"/>
      <c r="C32" s="162"/>
      <c r="D32" s="163"/>
      <c r="E32" s="175"/>
      <c r="F32" s="224"/>
      <c r="G32" s="179"/>
      <c r="H32" s="180"/>
      <c r="I32" s="300"/>
      <c r="J32" s="294"/>
    </row>
    <row r="33" spans="2:14" s="154" customFormat="1" ht="13.5" customHeight="1" x14ac:dyDescent="0.3">
      <c r="B33" s="369" t="s">
        <v>26</v>
      </c>
      <c r="C33" s="382"/>
      <c r="D33" s="371"/>
      <c r="E33" s="372" t="s">
        <v>188</v>
      </c>
      <c r="F33" s="364"/>
      <c r="G33" s="365"/>
      <c r="H33" s="366"/>
      <c r="I33" s="367"/>
      <c r="J33" s="373">
        <f>I37+I45+I52</f>
        <v>75228</v>
      </c>
      <c r="K33" s="166"/>
    </row>
    <row r="34" spans="2:14" s="154" customFormat="1" ht="13.5" customHeight="1" x14ac:dyDescent="0.3">
      <c r="B34" s="161"/>
      <c r="C34" s="178"/>
      <c r="D34" s="337"/>
      <c r="E34" s="339"/>
      <c r="F34" s="230"/>
      <c r="G34" s="170"/>
      <c r="H34" s="165"/>
      <c r="I34" s="287"/>
      <c r="J34" s="294"/>
    </row>
    <row r="35" spans="2:14" s="154" customFormat="1" ht="13.5" customHeight="1" x14ac:dyDescent="0.3">
      <c r="B35" s="161"/>
      <c r="C35" s="162" t="s">
        <v>30</v>
      </c>
      <c r="D35" s="177"/>
      <c r="E35" s="340" t="s">
        <v>188</v>
      </c>
      <c r="F35" s="230"/>
      <c r="G35" s="179">
        <v>79</v>
      </c>
      <c r="H35" s="205">
        <f>'Rev &amp; Attendance Details'!G4</f>
        <v>467</v>
      </c>
      <c r="I35" s="293">
        <f>H35*G35</f>
        <v>36893</v>
      </c>
      <c r="J35" s="294"/>
    </row>
    <row r="36" spans="2:14" s="154" customFormat="1" ht="13.5" customHeight="1" x14ac:dyDescent="0.3">
      <c r="B36" s="161"/>
      <c r="C36" s="269" t="s">
        <v>281</v>
      </c>
      <c r="E36" s="341"/>
      <c r="F36" s="230"/>
      <c r="G36" s="179">
        <v>79</v>
      </c>
      <c r="H36" s="205">
        <f>437-H35</f>
        <v>-30</v>
      </c>
      <c r="I36" s="298">
        <f>H36*G35</f>
        <v>-2370</v>
      </c>
      <c r="J36" s="294"/>
    </row>
    <row r="37" spans="2:14" s="154" customFormat="1" ht="13.5" customHeight="1" x14ac:dyDescent="0.3">
      <c r="B37" s="161"/>
      <c r="C37" s="238" t="s">
        <v>367</v>
      </c>
      <c r="D37" s="338"/>
      <c r="E37" s="340" t="s">
        <v>91</v>
      </c>
      <c r="F37" s="233"/>
      <c r="G37" s="232"/>
      <c r="H37" s="207"/>
      <c r="I37" s="299">
        <f>SUM(I35:I36)</f>
        <v>34523</v>
      </c>
      <c r="J37" s="301"/>
    </row>
    <row r="38" spans="2:14" s="154" customFormat="1" ht="13.5" customHeight="1" x14ac:dyDescent="0.3">
      <c r="B38" s="161"/>
      <c r="C38" s="178"/>
      <c r="D38" s="162"/>
      <c r="E38" s="340"/>
      <c r="F38" s="230"/>
      <c r="G38" s="179"/>
      <c r="H38" s="187"/>
      <c r="I38" s="293"/>
      <c r="J38" s="294"/>
    </row>
    <row r="39" spans="2:14" s="154" customFormat="1" ht="13.5" customHeight="1" x14ac:dyDescent="0.3">
      <c r="B39" s="161"/>
      <c r="C39" s="162" t="s">
        <v>27</v>
      </c>
      <c r="D39" s="177"/>
      <c r="E39" s="340"/>
      <c r="F39" s="212"/>
      <c r="G39" s="179">
        <v>1015</v>
      </c>
      <c r="H39" s="205">
        <v>1</v>
      </c>
      <c r="I39" s="293">
        <f>H39*G39</f>
        <v>1015</v>
      </c>
      <c r="J39" s="294"/>
      <c r="M39" s="166"/>
      <c r="N39" s="166"/>
    </row>
    <row r="40" spans="2:14" s="154" customFormat="1" ht="13.5" customHeight="1" x14ac:dyDescent="0.3">
      <c r="B40" s="161"/>
      <c r="C40" s="186" t="s">
        <v>43</v>
      </c>
      <c r="E40" s="340"/>
      <c r="F40" s="212"/>
      <c r="G40" s="179">
        <v>920</v>
      </c>
      <c r="H40" s="205">
        <v>4</v>
      </c>
      <c r="I40" s="293">
        <f>H40*G40</f>
        <v>3680</v>
      </c>
      <c r="J40" s="294"/>
      <c r="M40" s="166"/>
      <c r="N40" s="166"/>
    </row>
    <row r="41" spans="2:14" s="154" customFormat="1" ht="13.5" customHeight="1" x14ac:dyDescent="0.3">
      <c r="B41" s="161"/>
      <c r="C41" s="186" t="s">
        <v>12</v>
      </c>
      <c r="E41" s="340"/>
      <c r="F41" s="212"/>
      <c r="G41" s="179">
        <v>610</v>
      </c>
      <c r="H41" s="205">
        <v>1</v>
      </c>
      <c r="I41" s="293">
        <f>H41*G41</f>
        <v>610</v>
      </c>
      <c r="J41" s="294"/>
      <c r="L41" s="166"/>
      <c r="M41" s="166"/>
      <c r="N41" s="166"/>
    </row>
    <row r="42" spans="2:14" s="154" customFormat="1" ht="13.5" customHeight="1" x14ac:dyDescent="0.3">
      <c r="B42" s="161"/>
      <c r="C42" s="186" t="s">
        <v>13</v>
      </c>
      <c r="E42" s="340"/>
      <c r="F42" s="212"/>
      <c r="G42" s="179">
        <v>560</v>
      </c>
      <c r="H42" s="205">
        <v>5</v>
      </c>
      <c r="I42" s="293">
        <f>H42*G42</f>
        <v>2800</v>
      </c>
      <c r="J42" s="294"/>
      <c r="L42" s="181"/>
      <c r="M42" s="166"/>
      <c r="N42" s="166"/>
    </row>
    <row r="43" spans="2:14" s="154" customFormat="1" ht="13.5" customHeight="1" x14ac:dyDescent="0.3">
      <c r="B43" s="161"/>
      <c r="C43" s="186" t="s">
        <v>282</v>
      </c>
      <c r="E43" s="340"/>
      <c r="F43" s="188"/>
      <c r="G43" s="170">
        <v>920</v>
      </c>
      <c r="H43" s="239">
        <v>-1</v>
      </c>
      <c r="I43" s="293">
        <f>G43*H43</f>
        <v>-920</v>
      </c>
      <c r="J43" s="294"/>
      <c r="K43" s="190"/>
      <c r="L43" s="155"/>
    </row>
    <row r="44" spans="2:14" s="154" customFormat="1" ht="13.5" customHeight="1" x14ac:dyDescent="0.3">
      <c r="B44" s="161"/>
      <c r="C44" s="269" t="s">
        <v>94</v>
      </c>
      <c r="E44" s="340"/>
      <c r="F44" s="203"/>
      <c r="G44" s="188">
        <v>2500</v>
      </c>
      <c r="H44" s="189"/>
      <c r="I44" s="298">
        <f>+G44</f>
        <v>2500</v>
      </c>
      <c r="J44" s="294"/>
      <c r="L44" s="166"/>
    </row>
    <row r="45" spans="2:14" s="154" customFormat="1" ht="13.5" customHeight="1" x14ac:dyDescent="0.3">
      <c r="B45" s="161"/>
      <c r="C45" s="238" t="s">
        <v>337</v>
      </c>
      <c r="D45" s="338"/>
      <c r="E45" s="340" t="s">
        <v>91</v>
      </c>
      <c r="F45" s="233" t="s">
        <v>188</v>
      </c>
      <c r="G45" s="232"/>
      <c r="H45" s="207"/>
      <c r="I45" s="299">
        <f>SUM(I39:I44)</f>
        <v>9685</v>
      </c>
      <c r="J45" s="301"/>
      <c r="L45" s="166"/>
    </row>
    <row r="46" spans="2:14" s="154" customFormat="1" ht="13.5" customHeight="1" x14ac:dyDescent="0.3">
      <c r="B46" s="161"/>
      <c r="C46" s="178"/>
      <c r="D46" s="178"/>
      <c r="E46" s="340"/>
      <c r="F46" s="230"/>
      <c r="G46" s="170"/>
      <c r="H46" s="165"/>
      <c r="I46" s="287"/>
      <c r="J46" s="294"/>
      <c r="L46" s="166"/>
    </row>
    <row r="47" spans="2:14" s="154" customFormat="1" ht="13.5" customHeight="1" x14ac:dyDescent="0.3">
      <c r="B47" s="161"/>
      <c r="C47" s="186" t="s">
        <v>14</v>
      </c>
      <c r="E47" s="340"/>
      <c r="F47" s="212">
        <v>800</v>
      </c>
      <c r="G47" s="179"/>
      <c r="H47" s="191"/>
      <c r="I47" s="293">
        <f>+F47</f>
        <v>800</v>
      </c>
      <c r="J47" s="294"/>
      <c r="L47" s="166"/>
    </row>
    <row r="48" spans="2:14" s="154" customFormat="1" ht="13.5" customHeight="1" x14ac:dyDescent="0.3">
      <c r="B48" s="161"/>
      <c r="C48" s="186" t="s">
        <v>15</v>
      </c>
      <c r="E48" s="340"/>
      <c r="F48" s="230"/>
      <c r="G48" s="179">
        <v>120</v>
      </c>
      <c r="H48" s="180">
        <f>'Rev &amp; Attendance Details'!G5</f>
        <v>102</v>
      </c>
      <c r="I48" s="293">
        <f>H48*G48</f>
        <v>12240</v>
      </c>
      <c r="J48" s="294"/>
    </row>
    <row r="49" spans="2:15" s="154" customFormat="1" ht="13.5" customHeight="1" x14ac:dyDescent="0.3">
      <c r="B49" s="161"/>
      <c r="C49" s="186" t="s">
        <v>16</v>
      </c>
      <c r="E49" s="340"/>
      <c r="F49" s="230"/>
      <c r="G49" s="179">
        <v>140</v>
      </c>
      <c r="H49" s="180">
        <f>'Rev &amp; Attendance Details'!G6</f>
        <v>131</v>
      </c>
      <c r="I49" s="293">
        <f>H49*G49</f>
        <v>18340</v>
      </c>
      <c r="J49" s="294"/>
    </row>
    <row r="50" spans="2:15" s="154" customFormat="1" ht="13.5" customHeight="1" x14ac:dyDescent="0.3">
      <c r="B50" s="161"/>
      <c r="C50" s="162" t="s">
        <v>17</v>
      </c>
      <c r="D50" s="177"/>
      <c r="E50" s="340"/>
      <c r="F50" s="230"/>
      <c r="G50" s="179">
        <v>0</v>
      </c>
      <c r="H50" s="187">
        <f>'Rev &amp; Attendance Details'!G7</f>
        <v>11</v>
      </c>
      <c r="I50" s="293">
        <f>H50*G50</f>
        <v>0</v>
      </c>
      <c r="J50" s="294"/>
      <c r="L50" s="177"/>
    </row>
    <row r="51" spans="2:15" s="154" customFormat="1" ht="13.5" customHeight="1" x14ac:dyDescent="0.3">
      <c r="B51" s="161"/>
      <c r="C51" s="269" t="s">
        <v>15</v>
      </c>
      <c r="E51" s="340"/>
      <c r="F51" s="230"/>
      <c r="G51" s="170">
        <f>G48</f>
        <v>120</v>
      </c>
      <c r="H51" s="239">
        <f>99-H48</f>
        <v>-3</v>
      </c>
      <c r="I51" s="298">
        <f>H51*G51</f>
        <v>-360</v>
      </c>
      <c r="J51" s="294"/>
    </row>
    <row r="52" spans="2:15" s="154" customFormat="1" ht="13.5" customHeight="1" x14ac:dyDescent="0.3">
      <c r="B52" s="161"/>
      <c r="C52" s="238" t="s">
        <v>32</v>
      </c>
      <c r="D52" s="338"/>
      <c r="E52" s="340" t="s">
        <v>91</v>
      </c>
      <c r="F52" s="233"/>
      <c r="G52" s="232"/>
      <c r="H52" s="207"/>
      <c r="I52" s="299">
        <f>SUM(I47:I51)</f>
        <v>31020</v>
      </c>
      <c r="J52" s="301"/>
    </row>
    <row r="53" spans="2:15" s="154" customFormat="1" ht="13.5" customHeight="1" x14ac:dyDescent="0.3">
      <c r="B53" s="161"/>
      <c r="C53" s="162"/>
      <c r="D53" s="178"/>
      <c r="E53" s="342"/>
      <c r="F53" s="230"/>
      <c r="G53" s="170"/>
      <c r="H53" s="165"/>
      <c r="I53" s="287"/>
      <c r="J53" s="302"/>
    </row>
    <row r="54" spans="2:15" s="154" customFormat="1" ht="13.5" customHeight="1" x14ac:dyDescent="0.3">
      <c r="B54" s="360" t="s">
        <v>199</v>
      </c>
      <c r="C54" s="361"/>
      <c r="D54" s="362"/>
      <c r="E54" s="372"/>
      <c r="F54" s="364"/>
      <c r="G54" s="365"/>
      <c r="H54" s="366"/>
      <c r="I54" s="367"/>
      <c r="J54" s="368">
        <f>I64+I76+I87+I100+I112+I123+I134+I150+I146</f>
        <v>115822.51999999999</v>
      </c>
      <c r="K54"/>
      <c r="L54"/>
      <c r="M54"/>
      <c r="N54"/>
    </row>
    <row r="55" spans="2:15" s="154" customFormat="1" ht="13.5" customHeight="1" x14ac:dyDescent="0.3">
      <c r="B55" s="209"/>
      <c r="C55" s="213"/>
      <c r="D55" s="343"/>
      <c r="E55" s="344"/>
      <c r="F55" s="225"/>
      <c r="G55" s="243"/>
      <c r="H55" s="244"/>
      <c r="I55" s="303"/>
      <c r="J55" s="304"/>
      <c r="K55"/>
      <c r="L55"/>
      <c r="M55"/>
      <c r="N55"/>
    </row>
    <row r="56" spans="2:15" s="199" customFormat="1" ht="13.5" customHeight="1" x14ac:dyDescent="0.3">
      <c r="B56" s="193"/>
      <c r="C56" s="162" t="s">
        <v>29</v>
      </c>
      <c r="D56" s="200"/>
      <c r="E56" s="345"/>
      <c r="F56" s="241"/>
      <c r="G56" s="179">
        <v>0</v>
      </c>
      <c r="H56" s="187">
        <v>8</v>
      </c>
      <c r="I56" s="305">
        <f>+G56*H56</f>
        <v>0</v>
      </c>
      <c r="J56" s="301"/>
      <c r="K56"/>
      <c r="L56"/>
      <c r="M56"/>
      <c r="N56"/>
      <c r="O56" s="198"/>
    </row>
    <row r="57" spans="2:15" s="199" customFormat="1" ht="13.5" customHeight="1" x14ac:dyDescent="0.3">
      <c r="B57" s="193"/>
      <c r="C57" s="162" t="s">
        <v>3</v>
      </c>
      <c r="D57" s="200"/>
      <c r="E57" s="345"/>
      <c r="F57" s="241"/>
      <c r="G57" s="179">
        <v>13</v>
      </c>
      <c r="H57" s="180">
        <v>62</v>
      </c>
      <c r="I57" s="305">
        <f>+G57*H57</f>
        <v>806</v>
      </c>
      <c r="J57" s="301"/>
      <c r="K57"/>
      <c r="L57"/>
      <c r="M57"/>
      <c r="N57"/>
    </row>
    <row r="58" spans="2:15" s="154" customFormat="1" ht="13.5" customHeight="1" x14ac:dyDescent="0.3">
      <c r="B58" s="161"/>
      <c r="C58" s="162" t="s">
        <v>33</v>
      </c>
      <c r="D58" s="177"/>
      <c r="E58" s="340"/>
      <c r="F58" s="227"/>
      <c r="G58" s="179">
        <v>26</v>
      </c>
      <c r="H58" s="180">
        <v>51</v>
      </c>
      <c r="I58" s="305">
        <f>+G58*H58</f>
        <v>1326</v>
      </c>
      <c r="J58" s="292"/>
      <c r="K58"/>
      <c r="L58"/>
      <c r="M58"/>
      <c r="N58"/>
    </row>
    <row r="59" spans="2:15" s="154" customFormat="1" ht="13.5" customHeight="1" x14ac:dyDescent="0.3">
      <c r="B59" s="161"/>
      <c r="C59" s="162" t="s">
        <v>34</v>
      </c>
      <c r="D59" s="177"/>
      <c r="E59" s="340"/>
      <c r="F59" s="227"/>
      <c r="G59" s="179">
        <v>26</v>
      </c>
      <c r="H59" s="180">
        <v>312</v>
      </c>
      <c r="I59" s="305">
        <f>+G59*H59</f>
        <v>8112</v>
      </c>
      <c r="J59" s="292"/>
      <c r="K59"/>
      <c r="L59"/>
      <c r="M59"/>
      <c r="N59"/>
    </row>
    <row r="60" spans="2:15" s="154" customFormat="1" ht="13.5" customHeight="1" x14ac:dyDescent="0.3">
      <c r="B60" s="169"/>
      <c r="C60" s="162" t="s">
        <v>37</v>
      </c>
      <c r="D60" s="177"/>
      <c r="E60" s="340"/>
      <c r="F60" s="227"/>
      <c r="G60" s="179"/>
      <c r="H60" s="204"/>
      <c r="I60" s="305">
        <f>+I61*0.15</f>
        <v>240</v>
      </c>
      <c r="J60" s="292"/>
      <c r="K60"/>
      <c r="L60"/>
      <c r="M60"/>
      <c r="N60"/>
    </row>
    <row r="61" spans="2:15" s="154" customFormat="1" ht="13.5" customHeight="1" x14ac:dyDescent="0.3">
      <c r="B61" s="169"/>
      <c r="C61" s="162" t="s">
        <v>35</v>
      </c>
      <c r="D61" s="177"/>
      <c r="E61" s="340"/>
      <c r="F61" s="242">
        <v>1600</v>
      </c>
      <c r="G61" s="179"/>
      <c r="H61" s="205"/>
      <c r="I61" s="305">
        <f>+F61</f>
        <v>1600</v>
      </c>
      <c r="J61" s="292"/>
      <c r="K61"/>
      <c r="L61"/>
      <c r="M61"/>
      <c r="N61"/>
    </row>
    <row r="62" spans="2:15" s="154" customFormat="1" ht="13.5" customHeight="1" x14ac:dyDescent="0.3">
      <c r="B62" s="161"/>
      <c r="C62" s="162" t="s">
        <v>287</v>
      </c>
      <c r="D62" s="177"/>
      <c r="E62" s="340"/>
      <c r="F62" s="242"/>
      <c r="G62" s="179">
        <v>1</v>
      </c>
      <c r="H62" s="205">
        <v>425</v>
      </c>
      <c r="I62" s="305">
        <f>+F62+(G62*H62)</f>
        <v>425</v>
      </c>
      <c r="J62" s="292"/>
      <c r="K62"/>
      <c r="L62"/>
      <c r="M62"/>
      <c r="N62"/>
    </row>
    <row r="63" spans="2:15" s="154" customFormat="1" ht="13.5" customHeight="1" x14ac:dyDescent="0.3">
      <c r="B63" s="161"/>
      <c r="C63" s="237" t="s">
        <v>36</v>
      </c>
      <c r="D63" s="177"/>
      <c r="E63" s="340"/>
      <c r="F63" s="242">
        <v>56</v>
      </c>
      <c r="G63" s="179"/>
      <c r="H63" s="205"/>
      <c r="I63" s="298">
        <f>+F63</f>
        <v>56</v>
      </c>
      <c r="J63" s="294"/>
      <c r="K63"/>
      <c r="L63"/>
      <c r="M63"/>
      <c r="N63"/>
    </row>
    <row r="64" spans="2:15" s="199" customFormat="1" ht="13.5" customHeight="1" x14ac:dyDescent="0.3">
      <c r="B64" s="270"/>
      <c r="C64" s="238" t="s">
        <v>288</v>
      </c>
      <c r="D64" s="338"/>
      <c r="E64" s="345" t="s">
        <v>48</v>
      </c>
      <c r="F64" s="241"/>
      <c r="G64" s="232"/>
      <c r="H64" s="201"/>
      <c r="I64" s="299">
        <f>SUM(I56:I63)</f>
        <v>12565</v>
      </c>
      <c r="J64" s="301"/>
      <c r="K64"/>
      <c r="L64"/>
      <c r="M64"/>
      <c r="N64"/>
    </row>
    <row r="65" spans="2:14" s="199" customFormat="1" ht="13.5" customHeight="1" x14ac:dyDescent="0.3">
      <c r="B65" s="193"/>
      <c r="C65" s="202" t="s">
        <v>69</v>
      </c>
      <c r="D65" s="338"/>
      <c r="E65" s="345"/>
      <c r="F65" s="241"/>
      <c r="G65" s="232"/>
      <c r="H65" s="201"/>
      <c r="I65" s="306"/>
      <c r="J65" s="301"/>
      <c r="K65"/>
      <c r="L65"/>
      <c r="M65"/>
      <c r="N65"/>
    </row>
    <row r="66" spans="2:14" s="154" customFormat="1" ht="13.5" customHeight="1" x14ac:dyDescent="0.3">
      <c r="B66" s="161"/>
      <c r="C66" s="177"/>
      <c r="D66" s="162"/>
      <c r="E66" s="340"/>
      <c r="F66" s="242"/>
      <c r="G66" s="179"/>
      <c r="H66" s="205"/>
      <c r="I66" s="305"/>
      <c r="J66" s="292"/>
      <c r="K66"/>
      <c r="L66"/>
      <c r="M66"/>
      <c r="N66"/>
    </row>
    <row r="67" spans="2:14" s="199" customFormat="1" ht="13.5" customHeight="1" x14ac:dyDescent="0.3">
      <c r="B67" s="193"/>
      <c r="C67" s="162" t="s">
        <v>29</v>
      </c>
      <c r="D67" s="200"/>
      <c r="E67" s="345"/>
      <c r="F67" s="241"/>
      <c r="G67" s="179">
        <v>0</v>
      </c>
      <c r="H67" s="187">
        <v>0</v>
      </c>
      <c r="I67" s="305">
        <f>+G67*H67</f>
        <v>0</v>
      </c>
      <c r="J67" s="301"/>
      <c r="K67"/>
      <c r="L67"/>
      <c r="M67"/>
      <c r="N67"/>
    </row>
    <row r="68" spans="2:14" s="199" customFormat="1" ht="13.5" customHeight="1" x14ac:dyDescent="0.3">
      <c r="B68" s="193"/>
      <c r="C68" s="162" t="s">
        <v>3</v>
      </c>
      <c r="D68" s="200"/>
      <c r="E68" s="345"/>
      <c r="F68" s="241"/>
      <c r="G68" s="179">
        <v>7.12</v>
      </c>
      <c r="H68" s="180">
        <v>79</v>
      </c>
      <c r="I68" s="305">
        <f>+G68*H68</f>
        <v>562.48</v>
      </c>
      <c r="J68" s="301"/>
      <c r="K68"/>
      <c r="L68"/>
      <c r="M68"/>
      <c r="N68"/>
    </row>
    <row r="69" spans="2:14" s="154" customFormat="1" ht="13.5" customHeight="1" x14ac:dyDescent="0.3">
      <c r="B69" s="161"/>
      <c r="C69" s="162" t="s">
        <v>33</v>
      </c>
      <c r="D69" s="177"/>
      <c r="E69" s="340"/>
      <c r="F69" s="227"/>
      <c r="G69" s="179">
        <v>14.25</v>
      </c>
      <c r="H69" s="180">
        <v>57</v>
      </c>
      <c r="I69" s="305">
        <f>+G69*H69</f>
        <v>812.25</v>
      </c>
      <c r="J69" s="292"/>
      <c r="K69"/>
      <c r="L69"/>
      <c r="M69"/>
      <c r="N69"/>
    </row>
    <row r="70" spans="2:14" s="154" customFormat="1" ht="13.5" customHeight="1" x14ac:dyDescent="0.3">
      <c r="B70" s="161"/>
      <c r="C70" s="162" t="s">
        <v>34</v>
      </c>
      <c r="D70" s="177"/>
      <c r="E70" s="340"/>
      <c r="F70" s="227"/>
      <c r="G70" s="179">
        <v>14.25</v>
      </c>
      <c r="H70" s="180">
        <v>297</v>
      </c>
      <c r="I70" s="305">
        <f>+G70*H70</f>
        <v>4232.25</v>
      </c>
      <c r="J70" s="292"/>
      <c r="K70"/>
      <c r="L70"/>
      <c r="M70"/>
      <c r="N70"/>
    </row>
    <row r="71" spans="2:14" s="154" customFormat="1" ht="13.5" customHeight="1" x14ac:dyDescent="0.3">
      <c r="B71" s="169"/>
      <c r="C71" s="162" t="s">
        <v>37</v>
      </c>
      <c r="D71" s="177"/>
      <c r="E71" s="340"/>
      <c r="F71" s="227"/>
      <c r="G71" s="179"/>
      <c r="H71" s="204"/>
      <c r="I71" s="305">
        <f>+I72*0.15</f>
        <v>131.25</v>
      </c>
      <c r="J71" s="292"/>
      <c r="K71"/>
      <c r="L71"/>
      <c r="M71"/>
      <c r="N71"/>
    </row>
    <row r="72" spans="2:14" s="154" customFormat="1" ht="13.5" customHeight="1" x14ac:dyDescent="0.3">
      <c r="B72" s="169"/>
      <c r="C72" s="162" t="s">
        <v>35</v>
      </c>
      <c r="D72" s="177"/>
      <c r="E72" s="340"/>
      <c r="F72" s="242">
        <v>875</v>
      </c>
      <c r="G72" s="179"/>
      <c r="H72" s="205"/>
      <c r="I72" s="305">
        <f>+F72</f>
        <v>875</v>
      </c>
      <c r="J72" s="292"/>
      <c r="K72"/>
      <c r="L72"/>
      <c r="M72"/>
      <c r="N72"/>
    </row>
    <row r="73" spans="2:14" s="154" customFormat="1" ht="13.5" customHeight="1" x14ac:dyDescent="0.3">
      <c r="B73" s="161"/>
      <c r="C73" s="162" t="s">
        <v>99</v>
      </c>
      <c r="D73" s="177"/>
      <c r="E73" s="340"/>
      <c r="F73" s="242"/>
      <c r="G73" s="179">
        <v>0.75</v>
      </c>
      <c r="H73" s="205">
        <v>433</v>
      </c>
      <c r="I73" s="305">
        <f>+F73+(G73*H73)</f>
        <v>324.75</v>
      </c>
      <c r="J73" s="292"/>
      <c r="K73"/>
      <c r="L73"/>
      <c r="M73"/>
      <c r="N73"/>
    </row>
    <row r="74" spans="2:14" s="154" customFormat="1" ht="13.5" customHeight="1" x14ac:dyDescent="0.3">
      <c r="B74" s="161"/>
      <c r="C74" s="162" t="s">
        <v>100</v>
      </c>
      <c r="D74" s="177"/>
      <c r="E74" s="340"/>
      <c r="F74" s="242"/>
      <c r="G74" s="179">
        <v>5</v>
      </c>
      <c r="H74" s="205">
        <v>30</v>
      </c>
      <c r="I74" s="305">
        <f>G74*H74</f>
        <v>150</v>
      </c>
      <c r="J74" s="292"/>
      <c r="K74"/>
      <c r="L74"/>
      <c r="M74"/>
      <c r="N74"/>
    </row>
    <row r="75" spans="2:14" s="154" customFormat="1" ht="13.5" customHeight="1" x14ac:dyDescent="0.3">
      <c r="B75" s="161"/>
      <c r="C75" s="237" t="s">
        <v>36</v>
      </c>
      <c r="D75" s="177"/>
      <c r="E75" s="340"/>
      <c r="F75" s="242">
        <v>70</v>
      </c>
      <c r="G75" s="179"/>
      <c r="H75" s="205"/>
      <c r="I75" s="307">
        <f>+F75</f>
        <v>70</v>
      </c>
      <c r="J75" s="292"/>
      <c r="K75"/>
      <c r="L75"/>
      <c r="M75"/>
      <c r="N75"/>
    </row>
    <row r="76" spans="2:14" s="199" customFormat="1" ht="13.5" customHeight="1" x14ac:dyDescent="0.3">
      <c r="B76" s="270"/>
      <c r="C76" s="238" t="s">
        <v>289</v>
      </c>
      <c r="D76" s="338"/>
      <c r="E76" s="345" t="s">
        <v>48</v>
      </c>
      <c r="F76" s="241"/>
      <c r="G76" s="232"/>
      <c r="H76" s="201"/>
      <c r="I76" s="308">
        <f>SUM(I67:I75)</f>
        <v>7157.98</v>
      </c>
      <c r="J76" s="309"/>
      <c r="K76"/>
      <c r="L76"/>
      <c r="M76"/>
      <c r="N76"/>
    </row>
    <row r="77" spans="2:14" s="154" customFormat="1" ht="13.5" customHeight="1" x14ac:dyDescent="0.3">
      <c r="B77" s="161"/>
      <c r="C77" s="177"/>
      <c r="D77" s="178"/>
      <c r="E77" s="340"/>
      <c r="F77" s="227"/>
      <c r="G77" s="170"/>
      <c r="H77" s="165"/>
      <c r="I77" s="310"/>
      <c r="J77" s="292"/>
      <c r="K77"/>
      <c r="L77"/>
      <c r="M77"/>
      <c r="N77"/>
    </row>
    <row r="78" spans="2:14" s="199" customFormat="1" ht="13.5" customHeight="1" x14ac:dyDescent="0.3">
      <c r="B78" s="193"/>
      <c r="C78" s="162" t="s">
        <v>29</v>
      </c>
      <c r="D78" s="200"/>
      <c r="E78" s="345"/>
      <c r="F78" s="241"/>
      <c r="G78" s="179">
        <v>0</v>
      </c>
      <c r="H78" s="187">
        <v>10</v>
      </c>
      <c r="I78" s="305">
        <f>+G78*H78</f>
        <v>0</v>
      </c>
      <c r="J78" s="301"/>
      <c r="K78"/>
      <c r="L78"/>
      <c r="M78"/>
      <c r="N78"/>
    </row>
    <row r="79" spans="2:14" s="199" customFormat="1" ht="13.5" customHeight="1" x14ac:dyDescent="0.3">
      <c r="B79" s="193"/>
      <c r="C79" s="162" t="s">
        <v>3</v>
      </c>
      <c r="D79" s="200"/>
      <c r="E79" s="345"/>
      <c r="F79" s="241"/>
      <c r="G79" s="179">
        <v>7.5</v>
      </c>
      <c r="H79" s="180">
        <v>95</v>
      </c>
      <c r="I79" s="305">
        <f>+G79*H79</f>
        <v>712.5</v>
      </c>
      <c r="J79" s="301"/>
      <c r="K79"/>
      <c r="L79"/>
      <c r="M79"/>
      <c r="N79"/>
    </row>
    <row r="80" spans="2:14" s="154" customFormat="1" ht="13.5" customHeight="1" x14ac:dyDescent="0.3">
      <c r="B80" s="161"/>
      <c r="C80" s="162" t="s">
        <v>33</v>
      </c>
      <c r="D80" s="177"/>
      <c r="E80" s="340"/>
      <c r="F80" s="227"/>
      <c r="G80" s="179">
        <v>15</v>
      </c>
      <c r="H80" s="180">
        <v>73</v>
      </c>
      <c r="I80" s="305">
        <f>+G80*H80</f>
        <v>1095</v>
      </c>
      <c r="J80" s="292"/>
      <c r="K80"/>
      <c r="L80"/>
      <c r="M80"/>
      <c r="N80"/>
    </row>
    <row r="81" spans="2:14" s="154" customFormat="1" ht="13.5" customHeight="1" x14ac:dyDescent="0.3">
      <c r="B81" s="161"/>
      <c r="C81" s="162" t="s">
        <v>34</v>
      </c>
      <c r="D81" s="177"/>
      <c r="E81" s="340"/>
      <c r="F81" s="227"/>
      <c r="G81" s="179">
        <v>15</v>
      </c>
      <c r="H81" s="180">
        <v>367</v>
      </c>
      <c r="I81" s="305">
        <f>+G81*H81</f>
        <v>5505</v>
      </c>
      <c r="J81" s="292"/>
      <c r="K81"/>
      <c r="L81"/>
      <c r="M81"/>
      <c r="N81"/>
    </row>
    <row r="82" spans="2:14" s="154" customFormat="1" ht="13.5" customHeight="1" x14ac:dyDescent="0.3">
      <c r="B82" s="169"/>
      <c r="C82" s="162" t="s">
        <v>37</v>
      </c>
      <c r="D82" s="177"/>
      <c r="E82" s="340"/>
      <c r="F82" s="227"/>
      <c r="G82" s="179"/>
      <c r="H82" s="204"/>
      <c r="I82" s="305">
        <f>+I83*0.15</f>
        <v>367.5</v>
      </c>
      <c r="J82" s="292"/>
      <c r="K82"/>
      <c r="L82"/>
      <c r="M82"/>
      <c r="N82"/>
    </row>
    <row r="83" spans="2:14" s="154" customFormat="1" ht="13.5" customHeight="1" x14ac:dyDescent="0.3">
      <c r="B83" s="169"/>
      <c r="C83" s="162" t="s">
        <v>35</v>
      </c>
      <c r="D83" s="177"/>
      <c r="E83" s="340"/>
      <c r="F83" s="242">
        <v>2450</v>
      </c>
      <c r="G83" s="179"/>
      <c r="H83" s="205"/>
      <c r="I83" s="305">
        <f>+F83</f>
        <v>2450</v>
      </c>
      <c r="J83" s="292"/>
      <c r="K83"/>
      <c r="L83"/>
      <c r="M83"/>
      <c r="N83"/>
    </row>
    <row r="84" spans="2:14" s="154" customFormat="1" ht="13.5" customHeight="1" x14ac:dyDescent="0.3">
      <c r="B84" s="161"/>
      <c r="C84" s="162" t="s">
        <v>99</v>
      </c>
      <c r="D84" s="177"/>
      <c r="E84" s="340"/>
      <c r="F84" s="242"/>
      <c r="G84" s="179">
        <v>1</v>
      </c>
      <c r="H84" s="205">
        <v>535</v>
      </c>
      <c r="I84" s="305">
        <f>+F84+(G84*H84)</f>
        <v>535</v>
      </c>
      <c r="J84" s="292"/>
      <c r="K84"/>
      <c r="L84"/>
      <c r="M84"/>
      <c r="N84"/>
    </row>
    <row r="85" spans="2:14" s="154" customFormat="1" ht="13.5" customHeight="1" x14ac:dyDescent="0.3">
      <c r="B85" s="161"/>
      <c r="C85" s="162" t="s">
        <v>100</v>
      </c>
      <c r="D85" s="177"/>
      <c r="E85" s="340"/>
      <c r="F85" s="242"/>
      <c r="G85" s="179">
        <v>5</v>
      </c>
      <c r="H85" s="205">
        <v>54</v>
      </c>
      <c r="I85" s="305">
        <f>G85*H85</f>
        <v>270</v>
      </c>
      <c r="J85" s="292"/>
      <c r="K85"/>
      <c r="L85"/>
      <c r="M85"/>
      <c r="N85"/>
    </row>
    <row r="86" spans="2:14" s="154" customFormat="1" ht="13.5" customHeight="1" x14ac:dyDescent="0.3">
      <c r="B86" s="161"/>
      <c r="C86" s="237" t="s">
        <v>36</v>
      </c>
      <c r="D86" s="162"/>
      <c r="E86" s="340"/>
      <c r="F86" s="242">
        <v>105</v>
      </c>
      <c r="G86" s="179"/>
      <c r="H86" s="205"/>
      <c r="I86" s="307">
        <f>+F86</f>
        <v>105</v>
      </c>
      <c r="J86" s="292"/>
      <c r="K86"/>
      <c r="L86"/>
      <c r="M86"/>
      <c r="N86"/>
    </row>
    <row r="87" spans="2:14" s="199" customFormat="1" ht="13.5" customHeight="1" x14ac:dyDescent="0.3">
      <c r="B87" s="270"/>
      <c r="C87" s="238" t="s">
        <v>290</v>
      </c>
      <c r="D87" s="338"/>
      <c r="E87" s="345" t="s">
        <v>48</v>
      </c>
      <c r="F87" s="241"/>
      <c r="G87" s="232"/>
      <c r="H87" s="201"/>
      <c r="I87" s="308">
        <f>SUM(I78:I86)</f>
        <v>11040</v>
      </c>
      <c r="J87" s="309"/>
      <c r="K87"/>
      <c r="L87"/>
      <c r="M87"/>
      <c r="N87"/>
    </row>
    <row r="88" spans="2:14" s="199" customFormat="1" ht="13.5" customHeight="1" x14ac:dyDescent="0.3">
      <c r="B88" s="193"/>
      <c r="C88" s="202" t="s">
        <v>68</v>
      </c>
      <c r="D88" s="338"/>
      <c r="E88" s="345"/>
      <c r="F88" s="241"/>
      <c r="G88" s="232"/>
      <c r="H88" s="201"/>
      <c r="I88" s="306"/>
      <c r="J88" s="301"/>
      <c r="K88"/>
      <c r="L88"/>
      <c r="M88"/>
      <c r="N88"/>
    </row>
    <row r="89" spans="2:14" s="154" customFormat="1" ht="13.5" customHeight="1" x14ac:dyDescent="0.3">
      <c r="B89" s="161"/>
      <c r="C89" s="177"/>
      <c r="D89" s="162"/>
      <c r="E89" s="340"/>
      <c r="F89" s="227"/>
      <c r="G89" s="170"/>
      <c r="H89" s="165"/>
      <c r="I89" s="310"/>
      <c r="J89" s="292"/>
      <c r="K89"/>
      <c r="L89"/>
      <c r="M89"/>
      <c r="N89"/>
    </row>
    <row r="90" spans="2:14" s="199" customFormat="1" ht="13.5" customHeight="1" x14ac:dyDescent="0.3">
      <c r="B90" s="193"/>
      <c r="C90" s="162" t="s">
        <v>29</v>
      </c>
      <c r="D90" s="200"/>
      <c r="E90" s="345"/>
      <c r="F90" s="241"/>
      <c r="G90" s="179"/>
      <c r="H90" s="187">
        <v>0</v>
      </c>
      <c r="I90" s="305">
        <f>+G90*H90</f>
        <v>0</v>
      </c>
      <c r="J90" s="301"/>
      <c r="K90"/>
      <c r="L90"/>
      <c r="M90"/>
      <c r="N90"/>
    </row>
    <row r="91" spans="2:14" s="199" customFormat="1" ht="13.5" customHeight="1" x14ac:dyDescent="0.3">
      <c r="B91" s="193"/>
      <c r="C91" s="162" t="s">
        <v>3</v>
      </c>
      <c r="D91" s="200"/>
      <c r="E91" s="345"/>
      <c r="F91" s="241"/>
      <c r="G91" s="179"/>
      <c r="H91" s="180">
        <v>0</v>
      </c>
      <c r="I91" s="305">
        <f>+G91*H91</f>
        <v>0</v>
      </c>
      <c r="J91" s="301"/>
      <c r="K91"/>
      <c r="L91"/>
      <c r="M91"/>
      <c r="N91"/>
    </row>
    <row r="92" spans="2:14" s="154" customFormat="1" ht="13.5" customHeight="1" x14ac:dyDescent="0.3">
      <c r="B92" s="161"/>
      <c r="C92" s="162" t="s">
        <v>33</v>
      </c>
      <c r="D92" s="177"/>
      <c r="E92" s="340"/>
      <c r="F92" s="227"/>
      <c r="G92" s="179"/>
      <c r="H92" s="180">
        <v>0</v>
      </c>
      <c r="I92" s="305">
        <f>+G92*H92</f>
        <v>0</v>
      </c>
      <c r="J92" s="292"/>
      <c r="K92"/>
      <c r="L92"/>
      <c r="M92"/>
      <c r="N92"/>
    </row>
    <row r="93" spans="2:14" s="154" customFormat="1" ht="13.5" customHeight="1" x14ac:dyDescent="0.3">
      <c r="B93" s="161"/>
      <c r="C93" s="162" t="s">
        <v>34</v>
      </c>
      <c r="D93" s="177"/>
      <c r="E93" s="340"/>
      <c r="F93" s="227"/>
      <c r="G93" s="179">
        <v>22.5</v>
      </c>
      <c r="H93" s="180">
        <v>200</v>
      </c>
      <c r="I93" s="305">
        <f>+G93*H93</f>
        <v>4500</v>
      </c>
      <c r="J93" s="292"/>
      <c r="K93"/>
      <c r="L93"/>
      <c r="M93"/>
      <c r="N93"/>
    </row>
    <row r="94" spans="2:14" s="154" customFormat="1" ht="13.5" customHeight="1" x14ac:dyDescent="0.3">
      <c r="B94" s="161"/>
      <c r="C94" s="162" t="s">
        <v>9</v>
      </c>
      <c r="D94" s="177"/>
      <c r="E94" s="340"/>
      <c r="F94" s="241"/>
      <c r="G94" s="179">
        <v>29</v>
      </c>
      <c r="H94" s="187">
        <v>420</v>
      </c>
      <c r="I94" s="305">
        <f>H94*G94</f>
        <v>12180</v>
      </c>
      <c r="J94" s="292"/>
      <c r="K94"/>
      <c r="L94"/>
      <c r="M94"/>
      <c r="N94"/>
    </row>
    <row r="95" spans="2:14" s="154" customFormat="1" ht="13.5" customHeight="1" x14ac:dyDescent="0.3">
      <c r="B95" s="169"/>
      <c r="C95" s="162" t="s">
        <v>37</v>
      </c>
      <c r="D95" s="177"/>
      <c r="E95" s="340"/>
      <c r="F95" s="227"/>
      <c r="G95" s="179"/>
      <c r="H95" s="204"/>
      <c r="I95" s="305">
        <f>+I96*0.15</f>
        <v>472.5</v>
      </c>
      <c r="J95" s="292"/>
      <c r="K95"/>
      <c r="L95"/>
      <c r="M95"/>
      <c r="N95"/>
    </row>
    <row r="96" spans="2:14" s="154" customFormat="1" ht="13.5" customHeight="1" x14ac:dyDescent="0.3">
      <c r="B96" s="169"/>
      <c r="C96" s="162" t="s">
        <v>35</v>
      </c>
      <c r="D96" s="177"/>
      <c r="E96" s="340"/>
      <c r="F96" s="242">
        <v>3150</v>
      </c>
      <c r="G96" s="179"/>
      <c r="H96" s="205"/>
      <c r="I96" s="305">
        <f>+F96</f>
        <v>3150</v>
      </c>
      <c r="J96" s="292"/>
      <c r="K96"/>
      <c r="L96"/>
      <c r="M96"/>
      <c r="N96"/>
    </row>
    <row r="97" spans="2:14" s="154" customFormat="1" ht="13.5" customHeight="1" x14ac:dyDescent="0.3">
      <c r="B97" s="161"/>
      <c r="C97" s="162" t="s">
        <v>99</v>
      </c>
      <c r="D97" s="177"/>
      <c r="E97" s="340"/>
      <c r="F97" s="242"/>
      <c r="G97" s="179">
        <v>1</v>
      </c>
      <c r="H97" s="205">
        <f>H94</f>
        <v>420</v>
      </c>
      <c r="I97" s="305">
        <f>+F97+(G97*H97)</f>
        <v>420</v>
      </c>
      <c r="J97" s="292"/>
      <c r="K97"/>
      <c r="L97"/>
      <c r="M97"/>
      <c r="N97"/>
    </row>
    <row r="98" spans="2:14" s="154" customFormat="1" ht="13.5" customHeight="1" x14ac:dyDescent="0.3">
      <c r="B98" s="169"/>
      <c r="C98" s="162" t="s">
        <v>101</v>
      </c>
      <c r="D98" s="177"/>
      <c r="E98" s="340"/>
      <c r="F98" s="242"/>
      <c r="G98" s="179">
        <v>10</v>
      </c>
      <c r="H98" s="205">
        <v>30</v>
      </c>
      <c r="I98" s="305">
        <f>G98*H98</f>
        <v>300</v>
      </c>
      <c r="J98" s="292"/>
      <c r="K98"/>
      <c r="L98"/>
      <c r="M98"/>
      <c r="N98"/>
    </row>
    <row r="99" spans="2:14" s="154" customFormat="1" ht="13.5" customHeight="1" x14ac:dyDescent="0.3">
      <c r="B99" s="161"/>
      <c r="C99" s="237" t="s">
        <v>36</v>
      </c>
      <c r="D99" s="177"/>
      <c r="E99" s="340"/>
      <c r="F99" s="242">
        <v>126</v>
      </c>
      <c r="G99" s="179"/>
      <c r="H99" s="205"/>
      <c r="I99" s="307">
        <f>+F99</f>
        <v>126</v>
      </c>
      <c r="J99" s="292"/>
      <c r="K99"/>
      <c r="L99"/>
      <c r="M99"/>
      <c r="N99"/>
    </row>
    <row r="100" spans="2:14" s="199" customFormat="1" ht="13.5" customHeight="1" x14ac:dyDescent="0.3">
      <c r="B100" s="270"/>
      <c r="C100" s="238" t="s">
        <v>291</v>
      </c>
      <c r="D100" s="338"/>
      <c r="E100" s="345" t="s">
        <v>48</v>
      </c>
      <c r="F100" s="241"/>
      <c r="G100" s="232"/>
      <c r="H100" s="201"/>
      <c r="I100" s="308">
        <f>SUM(I90:I99)</f>
        <v>21148.5</v>
      </c>
      <c r="J100" s="309"/>
      <c r="K100"/>
      <c r="L100"/>
      <c r="M100"/>
      <c r="N100"/>
    </row>
    <row r="101" spans="2:14" s="199" customFormat="1" ht="13.5" customHeight="1" x14ac:dyDescent="0.3">
      <c r="B101" s="193"/>
      <c r="C101" s="202" t="s">
        <v>69</v>
      </c>
      <c r="D101" s="338"/>
      <c r="E101" s="345"/>
      <c r="F101" s="241"/>
      <c r="G101" s="232"/>
      <c r="H101" s="201"/>
      <c r="I101" s="306"/>
      <c r="J101" s="301"/>
      <c r="K101"/>
      <c r="L101"/>
      <c r="M101"/>
      <c r="N101"/>
    </row>
    <row r="102" spans="2:14" s="154" customFormat="1" ht="13.5" customHeight="1" x14ac:dyDescent="0.3">
      <c r="B102" s="161"/>
      <c r="C102" s="165"/>
      <c r="D102" s="162"/>
      <c r="E102" s="340"/>
      <c r="F102" s="242"/>
      <c r="G102" s="179"/>
      <c r="H102" s="205"/>
      <c r="I102" s="305"/>
      <c r="J102" s="292"/>
      <c r="K102"/>
      <c r="L102"/>
      <c r="M102"/>
      <c r="N102"/>
    </row>
    <row r="103" spans="2:14" s="199" customFormat="1" ht="13.5" customHeight="1" x14ac:dyDescent="0.3">
      <c r="B103" s="193"/>
      <c r="C103" s="162" t="s">
        <v>29</v>
      </c>
      <c r="D103" s="200"/>
      <c r="E103" s="345"/>
      <c r="F103" s="241"/>
      <c r="G103" s="179">
        <v>0</v>
      </c>
      <c r="H103" s="187">
        <v>7</v>
      </c>
      <c r="I103" s="305">
        <f>+G103*H103</f>
        <v>0</v>
      </c>
      <c r="J103" s="301"/>
      <c r="K103"/>
      <c r="L103"/>
      <c r="M103"/>
      <c r="N103"/>
    </row>
    <row r="104" spans="2:14" s="199" customFormat="1" ht="13.5" customHeight="1" x14ac:dyDescent="0.3">
      <c r="B104" s="193"/>
      <c r="C104" s="162" t="s">
        <v>3</v>
      </c>
      <c r="D104" s="200"/>
      <c r="E104" s="345"/>
      <c r="F104" s="241"/>
      <c r="G104" s="179">
        <v>8.3699999999999992</v>
      </c>
      <c r="H104" s="180">
        <v>103</v>
      </c>
      <c r="I104" s="305">
        <f>+G104*H104</f>
        <v>862.1099999999999</v>
      </c>
      <c r="J104" s="301"/>
      <c r="K104"/>
      <c r="L104"/>
      <c r="M104"/>
      <c r="N104"/>
    </row>
    <row r="105" spans="2:14" s="154" customFormat="1" ht="13.5" customHeight="1" x14ac:dyDescent="0.3">
      <c r="B105" s="161"/>
      <c r="C105" s="162" t="s">
        <v>33</v>
      </c>
      <c r="D105" s="177"/>
      <c r="E105" s="340"/>
      <c r="F105" s="227"/>
      <c r="G105" s="179">
        <v>16.75</v>
      </c>
      <c r="H105" s="180">
        <v>79</v>
      </c>
      <c r="I105" s="305">
        <f>+G105*H105</f>
        <v>1323.25</v>
      </c>
      <c r="J105" s="292"/>
      <c r="K105"/>
      <c r="L105"/>
      <c r="M105"/>
      <c r="N105"/>
    </row>
    <row r="106" spans="2:14" s="154" customFormat="1" ht="13.5" customHeight="1" x14ac:dyDescent="0.3">
      <c r="B106" s="161"/>
      <c r="C106" s="162" t="s">
        <v>34</v>
      </c>
      <c r="D106" s="177"/>
      <c r="E106" s="340"/>
      <c r="F106" s="227"/>
      <c r="G106" s="179">
        <v>16.75</v>
      </c>
      <c r="H106" s="180">
        <v>384</v>
      </c>
      <c r="I106" s="305">
        <f>+G106*H106</f>
        <v>6432</v>
      </c>
      <c r="J106" s="292"/>
      <c r="K106"/>
      <c r="L106"/>
      <c r="M106"/>
      <c r="N106"/>
    </row>
    <row r="107" spans="2:14" s="154" customFormat="1" ht="13.5" customHeight="1" x14ac:dyDescent="0.3">
      <c r="B107" s="169"/>
      <c r="C107" s="162" t="s">
        <v>37</v>
      </c>
      <c r="D107" s="177"/>
      <c r="E107" s="340"/>
      <c r="F107" s="227"/>
      <c r="G107" s="179"/>
      <c r="H107" s="204"/>
      <c r="I107" s="305">
        <f>+I108*0.15</f>
        <v>210</v>
      </c>
      <c r="J107" s="292"/>
      <c r="K107"/>
      <c r="L107"/>
      <c r="M107"/>
      <c r="N107"/>
    </row>
    <row r="108" spans="2:14" s="154" customFormat="1" ht="13.5" customHeight="1" x14ac:dyDescent="0.3">
      <c r="B108" s="169"/>
      <c r="C108" s="162" t="s">
        <v>35</v>
      </c>
      <c r="D108" s="177"/>
      <c r="E108" s="340"/>
      <c r="F108" s="242">
        <v>1400</v>
      </c>
      <c r="G108" s="179"/>
      <c r="H108" s="205"/>
      <c r="I108" s="305">
        <f>+F108</f>
        <v>1400</v>
      </c>
      <c r="J108" s="292"/>
      <c r="K108"/>
      <c r="L108"/>
      <c r="M108"/>
      <c r="N108"/>
    </row>
    <row r="109" spans="2:14" s="154" customFormat="1" ht="13.5" customHeight="1" x14ac:dyDescent="0.3">
      <c r="B109" s="161"/>
      <c r="C109" s="162" t="s">
        <v>99</v>
      </c>
      <c r="D109" s="177"/>
      <c r="E109" s="340"/>
      <c r="F109" s="242"/>
      <c r="G109" s="179">
        <v>0.75</v>
      </c>
      <c r="H109" s="205">
        <v>566</v>
      </c>
      <c r="I109" s="305">
        <f>+F109+(G109*H109)</f>
        <v>424.5</v>
      </c>
      <c r="J109" s="292"/>
      <c r="K109"/>
      <c r="L109"/>
      <c r="M109"/>
      <c r="N109"/>
    </row>
    <row r="110" spans="2:14" s="154" customFormat="1" ht="13.5" customHeight="1" x14ac:dyDescent="0.3">
      <c r="B110" s="161"/>
      <c r="C110" s="162" t="s">
        <v>102</v>
      </c>
      <c r="D110" s="177"/>
      <c r="E110" s="340"/>
      <c r="F110" s="242"/>
      <c r="G110" s="179">
        <v>5</v>
      </c>
      <c r="H110" s="205">
        <v>30</v>
      </c>
      <c r="I110" s="305">
        <f>G110*H110</f>
        <v>150</v>
      </c>
      <c r="J110" s="292"/>
      <c r="K110"/>
      <c r="L110"/>
      <c r="M110"/>
      <c r="N110"/>
    </row>
    <row r="111" spans="2:14" s="154" customFormat="1" ht="13.5" customHeight="1" x14ac:dyDescent="0.3">
      <c r="B111" s="161"/>
      <c r="C111" s="237" t="s">
        <v>36</v>
      </c>
      <c r="D111" s="177"/>
      <c r="E111" s="340"/>
      <c r="F111" s="242">
        <v>105</v>
      </c>
      <c r="G111" s="179"/>
      <c r="H111" s="205"/>
      <c r="I111" s="307">
        <f>+F111</f>
        <v>105</v>
      </c>
      <c r="J111" s="292"/>
      <c r="K111"/>
      <c r="L111"/>
      <c r="M111"/>
      <c r="N111"/>
    </row>
    <row r="112" spans="2:14" s="199" customFormat="1" ht="13.5" customHeight="1" x14ac:dyDescent="0.3">
      <c r="B112" s="270"/>
      <c r="C112" s="238" t="s">
        <v>293</v>
      </c>
      <c r="D112" s="162"/>
      <c r="E112" s="345" t="s">
        <v>48</v>
      </c>
      <c r="F112" s="241"/>
      <c r="G112" s="232"/>
      <c r="H112" s="201"/>
      <c r="I112" s="308">
        <f>SUM(I103:I111)</f>
        <v>10906.86</v>
      </c>
      <c r="J112" s="309"/>
      <c r="K112"/>
      <c r="L112"/>
      <c r="M112"/>
      <c r="N112"/>
    </row>
    <row r="113" spans="2:14" s="154" customFormat="1" ht="13.5" customHeight="1" x14ac:dyDescent="0.3">
      <c r="B113" s="161"/>
      <c r="C113" s="178"/>
      <c r="D113" s="178"/>
      <c r="E113" s="340"/>
      <c r="F113" s="227"/>
      <c r="G113" s="170"/>
      <c r="H113" s="165"/>
      <c r="I113" s="310"/>
      <c r="J113" s="292"/>
      <c r="K113"/>
      <c r="L113"/>
      <c r="M113"/>
      <c r="N113"/>
    </row>
    <row r="114" spans="2:14" s="154" customFormat="1" ht="13.5" customHeight="1" x14ac:dyDescent="0.3">
      <c r="B114" s="161"/>
      <c r="C114" s="162" t="s">
        <v>29</v>
      </c>
      <c r="D114" s="177"/>
      <c r="E114" s="345"/>
      <c r="F114" s="241"/>
      <c r="G114" s="179">
        <v>0</v>
      </c>
      <c r="H114" s="187">
        <v>10</v>
      </c>
      <c r="I114" s="305">
        <f>+G114*H114</f>
        <v>0</v>
      </c>
      <c r="J114" s="301"/>
      <c r="K114"/>
      <c r="L114"/>
      <c r="M114"/>
      <c r="N114"/>
    </row>
    <row r="115" spans="2:14" s="199" customFormat="1" ht="13.5" customHeight="1" x14ac:dyDescent="0.3">
      <c r="B115" s="193"/>
      <c r="C115" s="162" t="s">
        <v>3</v>
      </c>
      <c r="D115" s="200"/>
      <c r="E115" s="345"/>
      <c r="F115" s="241"/>
      <c r="G115" s="179">
        <v>10</v>
      </c>
      <c r="H115" s="180">
        <v>123</v>
      </c>
      <c r="I115" s="305">
        <f>+G115*H115</f>
        <v>1230</v>
      </c>
      <c r="J115" s="301"/>
      <c r="K115"/>
      <c r="L115"/>
      <c r="M115"/>
      <c r="N115"/>
    </row>
    <row r="116" spans="2:14" s="199" customFormat="1" ht="13.5" customHeight="1" x14ac:dyDescent="0.3">
      <c r="B116" s="193"/>
      <c r="C116" s="162" t="s">
        <v>33</v>
      </c>
      <c r="D116" s="200"/>
      <c r="E116" s="340"/>
      <c r="F116" s="227"/>
      <c r="G116" s="179">
        <v>20</v>
      </c>
      <c r="H116" s="180">
        <v>97</v>
      </c>
      <c r="I116" s="305">
        <f>+G116*H116</f>
        <v>1940</v>
      </c>
      <c r="J116" s="292"/>
      <c r="K116"/>
      <c r="L116"/>
      <c r="M116"/>
      <c r="N116"/>
    </row>
    <row r="117" spans="2:14" s="154" customFormat="1" ht="13.5" customHeight="1" x14ac:dyDescent="0.3">
      <c r="B117" s="161"/>
      <c r="C117" s="162" t="s">
        <v>34</v>
      </c>
      <c r="D117" s="177"/>
      <c r="E117" s="340"/>
      <c r="F117" s="227"/>
      <c r="G117" s="179">
        <v>20</v>
      </c>
      <c r="H117" s="180">
        <v>431</v>
      </c>
      <c r="I117" s="305">
        <f>+G117*H117</f>
        <v>8620</v>
      </c>
      <c r="J117" s="292"/>
      <c r="K117"/>
      <c r="L117"/>
      <c r="M117"/>
      <c r="N117"/>
    </row>
    <row r="118" spans="2:14" s="154" customFormat="1" ht="13.5" customHeight="1" x14ac:dyDescent="0.3">
      <c r="B118" s="169"/>
      <c r="C118" s="162" t="s">
        <v>37</v>
      </c>
      <c r="D118" s="177"/>
      <c r="E118" s="340"/>
      <c r="F118" s="227"/>
      <c r="G118" s="179"/>
      <c r="H118" s="204"/>
      <c r="I118" s="305">
        <f>+I119*0.15</f>
        <v>498.75</v>
      </c>
      <c r="J118" s="292"/>
      <c r="K118"/>
      <c r="L118"/>
      <c r="M118"/>
      <c r="N118"/>
    </row>
    <row r="119" spans="2:14" s="154" customFormat="1" ht="13.5" customHeight="1" x14ac:dyDescent="0.3">
      <c r="B119" s="169"/>
      <c r="C119" s="162" t="s">
        <v>35</v>
      </c>
      <c r="D119" s="177"/>
      <c r="E119" s="340"/>
      <c r="F119" s="242">
        <v>3325</v>
      </c>
      <c r="G119" s="179"/>
      <c r="H119" s="205"/>
      <c r="I119" s="305">
        <f>+F119</f>
        <v>3325</v>
      </c>
      <c r="J119" s="292"/>
      <c r="K119"/>
      <c r="L119"/>
      <c r="M119"/>
      <c r="N119"/>
    </row>
    <row r="120" spans="2:14" s="154" customFormat="1" ht="13.5" customHeight="1" x14ac:dyDescent="0.3">
      <c r="B120" s="161"/>
      <c r="C120" s="162" t="s">
        <v>99</v>
      </c>
      <c r="D120" s="177"/>
      <c r="E120" s="340"/>
      <c r="F120" s="242"/>
      <c r="G120" s="179">
        <v>1</v>
      </c>
      <c r="H120" s="205">
        <v>651</v>
      </c>
      <c r="I120" s="305">
        <f>+F120+(G120*H120)</f>
        <v>651</v>
      </c>
      <c r="J120" s="292"/>
      <c r="K120"/>
      <c r="L120"/>
      <c r="M120"/>
      <c r="N120"/>
    </row>
    <row r="121" spans="2:14" s="154" customFormat="1" ht="13.5" customHeight="1" x14ac:dyDescent="0.3">
      <c r="B121" s="161"/>
      <c r="C121" s="162" t="s">
        <v>100</v>
      </c>
      <c r="D121" s="177"/>
      <c r="E121" s="340"/>
      <c r="F121" s="242"/>
      <c r="G121" s="179">
        <v>5</v>
      </c>
      <c r="H121" s="205">
        <v>50</v>
      </c>
      <c r="I121" s="305">
        <f>G121*H121</f>
        <v>250</v>
      </c>
      <c r="J121" s="292"/>
      <c r="K121"/>
      <c r="L121"/>
      <c r="M121"/>
      <c r="N121"/>
    </row>
    <row r="122" spans="2:14" s="154" customFormat="1" ht="13.5" customHeight="1" x14ac:dyDescent="0.3">
      <c r="B122" s="161"/>
      <c r="C122" s="237" t="s">
        <v>36</v>
      </c>
      <c r="D122" s="177"/>
      <c r="E122" s="340"/>
      <c r="F122" s="242">
        <v>126</v>
      </c>
      <c r="G122" s="179"/>
      <c r="H122" s="205"/>
      <c r="I122" s="307">
        <f>+F122</f>
        <v>126</v>
      </c>
      <c r="J122" s="292"/>
      <c r="K122"/>
      <c r="L122"/>
      <c r="M122"/>
      <c r="N122"/>
    </row>
    <row r="123" spans="2:14" s="154" customFormat="1" ht="13.5" customHeight="1" x14ac:dyDescent="0.3">
      <c r="B123" s="245"/>
      <c r="C123" s="238" t="s">
        <v>292</v>
      </c>
      <c r="D123" s="178"/>
      <c r="E123" s="345" t="s">
        <v>48</v>
      </c>
      <c r="F123" s="227"/>
      <c r="G123" s="170"/>
      <c r="H123" s="201"/>
      <c r="I123" s="308">
        <f>SUM(I114:I122)</f>
        <v>16640.75</v>
      </c>
      <c r="J123" s="311"/>
      <c r="K123"/>
      <c r="L123"/>
      <c r="M123"/>
      <c r="N123"/>
    </row>
    <row r="124" spans="2:14" s="154" customFormat="1" ht="13.5" customHeight="1" x14ac:dyDescent="0.3">
      <c r="B124" s="161"/>
      <c r="C124" s="178"/>
      <c r="D124" s="162"/>
      <c r="E124" s="340"/>
      <c r="F124" s="227"/>
      <c r="G124" s="179"/>
      <c r="H124" s="187"/>
      <c r="I124" s="305"/>
      <c r="J124" s="292"/>
      <c r="K124"/>
      <c r="L124"/>
      <c r="M124"/>
      <c r="N124"/>
    </row>
    <row r="125" spans="2:14" s="154" customFormat="1" ht="13.5" customHeight="1" x14ac:dyDescent="0.3">
      <c r="B125" s="161"/>
      <c r="C125" s="162" t="s">
        <v>72</v>
      </c>
      <c r="D125" s="177"/>
      <c r="E125" s="340"/>
      <c r="F125" s="242">
        <v>300</v>
      </c>
      <c r="G125" s="179"/>
      <c r="H125" s="187"/>
      <c r="I125" s="312">
        <f>F125</f>
        <v>300</v>
      </c>
      <c r="J125" s="292"/>
      <c r="K125"/>
      <c r="L125"/>
      <c r="M125"/>
      <c r="N125"/>
    </row>
    <row r="126" spans="2:14" s="154" customFormat="1" ht="13.5" customHeight="1" x14ac:dyDescent="0.3">
      <c r="B126" s="161"/>
      <c r="C126" s="162" t="s">
        <v>11</v>
      </c>
      <c r="D126" s="177"/>
      <c r="E126" s="340"/>
      <c r="F126" s="242"/>
      <c r="G126" s="179">
        <v>56</v>
      </c>
      <c r="H126" s="180">
        <v>427</v>
      </c>
      <c r="I126" s="305">
        <f>G126*H126</f>
        <v>23912</v>
      </c>
      <c r="J126" s="292"/>
      <c r="K126"/>
      <c r="L126"/>
      <c r="M126"/>
      <c r="N126"/>
    </row>
    <row r="127" spans="2:14" s="154" customFormat="1" ht="13.5" customHeight="1" x14ac:dyDescent="0.3">
      <c r="B127" s="169"/>
      <c r="C127" s="162" t="s">
        <v>35</v>
      </c>
      <c r="D127" s="177"/>
      <c r="E127" s="340"/>
      <c r="F127" s="242">
        <v>5600</v>
      </c>
      <c r="G127" s="179"/>
      <c r="H127" s="205"/>
      <c r="I127" s="305">
        <f>+F127</f>
        <v>5600</v>
      </c>
      <c r="J127" s="292"/>
      <c r="K127"/>
      <c r="L127"/>
      <c r="M127"/>
      <c r="N127"/>
    </row>
    <row r="128" spans="2:14" s="154" customFormat="1" ht="13.5" customHeight="1" x14ac:dyDescent="0.3">
      <c r="B128" s="169"/>
      <c r="C128" s="162" t="s">
        <v>37</v>
      </c>
      <c r="D128" s="177"/>
      <c r="E128" s="340"/>
      <c r="F128" s="227"/>
      <c r="G128" s="179"/>
      <c r="H128" s="204"/>
      <c r="I128" s="305">
        <f>I127*0.15</f>
        <v>840</v>
      </c>
      <c r="J128" s="292"/>
      <c r="K128"/>
      <c r="L128"/>
      <c r="M128"/>
      <c r="N128"/>
    </row>
    <row r="129" spans="2:14" s="154" customFormat="1" ht="13.5" customHeight="1" x14ac:dyDescent="0.3">
      <c r="B129" s="161"/>
      <c r="C129" s="206" t="s">
        <v>74</v>
      </c>
      <c r="D129" s="177"/>
      <c r="E129" s="340"/>
      <c r="F129" s="242"/>
      <c r="G129" s="179">
        <v>10</v>
      </c>
      <c r="H129" s="205">
        <v>60</v>
      </c>
      <c r="I129" s="305">
        <f>G129*H129</f>
        <v>600</v>
      </c>
      <c r="J129" s="292"/>
      <c r="K129"/>
      <c r="L129"/>
      <c r="M129"/>
      <c r="N129"/>
    </row>
    <row r="130" spans="2:14" s="154" customFormat="1" ht="13.5" customHeight="1" x14ac:dyDescent="0.3">
      <c r="B130" s="161"/>
      <c r="C130" s="206" t="s">
        <v>73</v>
      </c>
      <c r="D130" s="177"/>
      <c r="E130" s="340"/>
      <c r="F130" s="242"/>
      <c r="G130" s="179">
        <v>2</v>
      </c>
      <c r="H130" s="205">
        <f>H126</f>
        <v>427</v>
      </c>
      <c r="I130" s="305">
        <f>G130*H130</f>
        <v>854</v>
      </c>
      <c r="J130" s="292"/>
      <c r="K130"/>
      <c r="L130"/>
      <c r="M130"/>
      <c r="N130"/>
    </row>
    <row r="131" spans="2:14" s="154" customFormat="1" ht="13.5" customHeight="1" x14ac:dyDescent="0.3">
      <c r="B131" s="161"/>
      <c r="C131" s="162" t="s">
        <v>38</v>
      </c>
      <c r="D131" s="177"/>
      <c r="E131" s="340"/>
      <c r="F131" s="242">
        <v>650</v>
      </c>
      <c r="G131" s="179"/>
      <c r="H131" s="205"/>
      <c r="I131" s="305">
        <f t="shared" ref="I131:I133" si="0">+F131</f>
        <v>650</v>
      </c>
      <c r="J131" s="292"/>
      <c r="K131"/>
      <c r="L131"/>
      <c r="M131"/>
      <c r="N131"/>
    </row>
    <row r="132" spans="2:14" s="154" customFormat="1" ht="13.5" customHeight="1" x14ac:dyDescent="0.3">
      <c r="B132" s="161"/>
      <c r="C132" s="162" t="s">
        <v>103</v>
      </c>
      <c r="D132" s="177"/>
      <c r="E132" s="340"/>
      <c r="F132" s="242">
        <v>1472.7</v>
      </c>
      <c r="G132" s="179"/>
      <c r="H132" s="205"/>
      <c r="I132" s="305">
        <f t="shared" si="0"/>
        <v>1472.7</v>
      </c>
      <c r="J132" s="292"/>
      <c r="K132"/>
      <c r="L132"/>
      <c r="M132"/>
      <c r="N132"/>
    </row>
    <row r="133" spans="2:14" s="154" customFormat="1" ht="13.5" customHeight="1" x14ac:dyDescent="0.3">
      <c r="B133" s="161"/>
      <c r="C133" s="237" t="s">
        <v>36</v>
      </c>
      <c r="D133" s="177"/>
      <c r="E133" s="340"/>
      <c r="F133" s="242">
        <v>140</v>
      </c>
      <c r="G133" s="179"/>
      <c r="H133" s="205"/>
      <c r="I133" s="307">
        <f t="shared" si="0"/>
        <v>140</v>
      </c>
      <c r="J133" s="292"/>
      <c r="K133"/>
      <c r="L133"/>
      <c r="M133"/>
      <c r="N133"/>
    </row>
    <row r="134" spans="2:14" s="154" customFormat="1" ht="13.5" customHeight="1" x14ac:dyDescent="0.3">
      <c r="B134" s="245"/>
      <c r="C134" s="238" t="s">
        <v>294</v>
      </c>
      <c r="D134" s="178"/>
      <c r="E134" s="345" t="s">
        <v>48</v>
      </c>
      <c r="F134" s="227"/>
      <c r="G134" s="170"/>
      <c r="H134" s="201"/>
      <c r="I134" s="308">
        <f>SUM(I125:I133)</f>
        <v>34368.699999999997</v>
      </c>
      <c r="J134" s="311"/>
      <c r="K134"/>
      <c r="L134"/>
      <c r="M134"/>
      <c r="N134"/>
    </row>
    <row r="135" spans="2:14" s="154" customFormat="1" ht="13.5" customHeight="1" x14ac:dyDescent="0.3">
      <c r="B135" s="193"/>
      <c r="C135" s="202" t="s">
        <v>70</v>
      </c>
      <c r="D135" s="178"/>
      <c r="E135" s="345"/>
      <c r="F135" s="227"/>
      <c r="G135" s="170"/>
      <c r="H135" s="201"/>
      <c r="I135" s="310"/>
      <c r="J135" s="301"/>
      <c r="K135"/>
      <c r="L135"/>
      <c r="M135"/>
      <c r="N135"/>
    </row>
    <row r="136" spans="2:14" s="154" customFormat="1" ht="13.5" customHeight="1" x14ac:dyDescent="0.3">
      <c r="B136" s="161"/>
      <c r="C136" s="178"/>
      <c r="D136" s="162"/>
      <c r="E136" s="340"/>
      <c r="F136" s="242"/>
      <c r="G136" s="179"/>
      <c r="H136" s="205"/>
      <c r="I136" s="305"/>
      <c r="J136" s="292"/>
      <c r="K136"/>
      <c r="L136"/>
      <c r="M136"/>
      <c r="N136"/>
    </row>
    <row r="137" spans="2:14" s="199" customFormat="1" ht="13.5" customHeight="1" x14ac:dyDescent="0.3">
      <c r="B137" s="193"/>
      <c r="C137" s="162" t="s">
        <v>29</v>
      </c>
      <c r="D137" s="200"/>
      <c r="E137" s="345"/>
      <c r="F137" s="241"/>
      <c r="G137" s="179">
        <v>0</v>
      </c>
      <c r="H137" s="187">
        <v>10</v>
      </c>
      <c r="I137" s="305">
        <f>+G137*H137</f>
        <v>0</v>
      </c>
      <c r="J137" s="301"/>
      <c r="K137"/>
      <c r="L137"/>
      <c r="M137"/>
      <c r="N137"/>
    </row>
    <row r="138" spans="2:14" s="199" customFormat="1" ht="13.5" customHeight="1" x14ac:dyDescent="0.3">
      <c r="B138" s="193"/>
      <c r="C138" s="162" t="s">
        <v>3</v>
      </c>
      <c r="D138" s="200"/>
      <c r="E138" s="345"/>
      <c r="F138" s="241"/>
      <c r="G138" s="179">
        <v>8</v>
      </c>
      <c r="H138" s="180">
        <v>113</v>
      </c>
      <c r="I138" s="305">
        <f>+G138*H138</f>
        <v>904</v>
      </c>
      <c r="J138" s="301"/>
      <c r="K138"/>
      <c r="L138"/>
      <c r="M138"/>
      <c r="N138"/>
    </row>
    <row r="139" spans="2:14" s="154" customFormat="1" ht="13.5" customHeight="1" x14ac:dyDescent="0.3">
      <c r="B139" s="161"/>
      <c r="C139" s="162" t="s">
        <v>33</v>
      </c>
      <c r="D139" s="177"/>
      <c r="E139" s="340"/>
      <c r="F139" s="227"/>
      <c r="G139" s="179">
        <v>16</v>
      </c>
      <c r="H139" s="180">
        <v>86</v>
      </c>
      <c r="I139" s="305">
        <f>+G139*H139</f>
        <v>1376</v>
      </c>
      <c r="J139" s="292"/>
      <c r="K139"/>
      <c r="L139"/>
      <c r="M139"/>
      <c r="N139"/>
    </row>
    <row r="140" spans="2:14" s="154" customFormat="1" ht="13.5" customHeight="1" x14ac:dyDescent="0.3">
      <c r="B140" s="161"/>
      <c r="C140" s="162" t="s">
        <v>34</v>
      </c>
      <c r="D140" s="177"/>
      <c r="E140" s="340"/>
      <c r="F140" s="227"/>
      <c r="G140" s="179">
        <v>16</v>
      </c>
      <c r="H140" s="180">
        <v>403</v>
      </c>
      <c r="I140" s="305">
        <f>+G140*H140</f>
        <v>6448</v>
      </c>
      <c r="J140" s="292"/>
      <c r="K140"/>
      <c r="L140"/>
      <c r="M140"/>
      <c r="N140"/>
    </row>
    <row r="141" spans="2:14" s="154" customFormat="1" ht="13.5" customHeight="1" x14ac:dyDescent="0.3">
      <c r="B141" s="169"/>
      <c r="C141" s="162" t="s">
        <v>37</v>
      </c>
      <c r="D141" s="177"/>
      <c r="E141" s="340"/>
      <c r="F141" s="227"/>
      <c r="G141" s="179"/>
      <c r="H141" s="204"/>
      <c r="I141" s="305">
        <f>+I142*0.15</f>
        <v>236.25</v>
      </c>
      <c r="J141" s="292"/>
      <c r="K141"/>
      <c r="L141"/>
      <c r="M141"/>
      <c r="N141"/>
    </row>
    <row r="142" spans="2:14" s="154" customFormat="1" ht="13.5" customHeight="1" x14ac:dyDescent="0.3">
      <c r="B142" s="169"/>
      <c r="C142" s="162" t="s">
        <v>35</v>
      </c>
      <c r="D142" s="177"/>
      <c r="E142" s="340"/>
      <c r="F142" s="242">
        <v>1575</v>
      </c>
      <c r="G142" s="203"/>
      <c r="H142" s="205"/>
      <c r="I142" s="305">
        <f>+F142</f>
        <v>1575</v>
      </c>
      <c r="J142" s="292"/>
      <c r="K142"/>
      <c r="L142"/>
      <c r="M142"/>
      <c r="N142"/>
    </row>
    <row r="143" spans="2:14" s="154" customFormat="1" ht="13.5" customHeight="1" x14ac:dyDescent="0.3">
      <c r="B143" s="161"/>
      <c r="C143" s="162" t="s">
        <v>99</v>
      </c>
      <c r="D143" s="177"/>
      <c r="E143" s="340"/>
      <c r="F143" s="242"/>
      <c r="G143" s="179">
        <v>0.75</v>
      </c>
      <c r="H143" s="205">
        <v>602</v>
      </c>
      <c r="I143" s="305">
        <f>+F143+(G143*H143)</f>
        <v>451.5</v>
      </c>
      <c r="J143" s="292"/>
      <c r="K143"/>
      <c r="L143"/>
      <c r="M143"/>
      <c r="N143"/>
    </row>
    <row r="144" spans="2:14" s="154" customFormat="1" ht="13.5" customHeight="1" x14ac:dyDescent="0.3">
      <c r="B144" s="161"/>
      <c r="C144" s="162" t="s">
        <v>100</v>
      </c>
      <c r="D144" s="177"/>
      <c r="E144" s="340"/>
      <c r="F144" s="242"/>
      <c r="G144" s="179">
        <v>5</v>
      </c>
      <c r="H144" s="205">
        <v>30</v>
      </c>
      <c r="I144" s="305">
        <f>G144*H144</f>
        <v>150</v>
      </c>
      <c r="J144" s="292"/>
      <c r="K144"/>
      <c r="L144"/>
      <c r="M144"/>
      <c r="N144"/>
    </row>
    <row r="145" spans="2:14" s="154" customFormat="1" ht="13.5" customHeight="1" x14ac:dyDescent="0.3">
      <c r="B145" s="161"/>
      <c r="C145" s="237" t="s">
        <v>36</v>
      </c>
      <c r="D145" s="177"/>
      <c r="E145" s="340"/>
      <c r="F145" s="242">
        <v>140</v>
      </c>
      <c r="G145" s="179"/>
      <c r="H145" s="205"/>
      <c r="I145" s="307">
        <f>+F145</f>
        <v>140</v>
      </c>
      <c r="J145" s="292"/>
      <c r="K145"/>
      <c r="L145"/>
      <c r="M145"/>
      <c r="N145"/>
    </row>
    <row r="146" spans="2:14" s="154" customFormat="1" ht="13.5" customHeight="1" x14ac:dyDescent="0.3">
      <c r="B146" s="245"/>
      <c r="C146" s="238" t="s">
        <v>295</v>
      </c>
      <c r="D146" s="178"/>
      <c r="E146" s="345" t="s">
        <v>48</v>
      </c>
      <c r="F146" s="227"/>
      <c r="G146" s="170"/>
      <c r="H146" s="201"/>
      <c r="I146" s="308">
        <f>SUM(I137:I145)</f>
        <v>11280.75</v>
      </c>
      <c r="J146" s="311"/>
      <c r="K146"/>
      <c r="L146"/>
      <c r="M146"/>
      <c r="N146"/>
    </row>
    <row r="147" spans="2:14" s="154" customFormat="1" ht="13.5" customHeight="1" x14ac:dyDescent="0.3">
      <c r="B147" s="161"/>
      <c r="C147" s="178"/>
      <c r="D147" s="162"/>
      <c r="E147" s="340"/>
      <c r="F147" s="242"/>
      <c r="G147" s="179"/>
      <c r="H147" s="205"/>
      <c r="I147" s="305"/>
      <c r="J147" s="292"/>
      <c r="K147"/>
      <c r="L147"/>
      <c r="M147"/>
      <c r="N147"/>
    </row>
    <row r="148" spans="2:14" s="154" customFormat="1" ht="13.5" customHeight="1" x14ac:dyDescent="0.3">
      <c r="B148" s="245"/>
      <c r="C148" s="162" t="s">
        <v>39</v>
      </c>
      <c r="D148" s="177"/>
      <c r="E148" s="346"/>
      <c r="F148" s="242">
        <v>-9289.02</v>
      </c>
      <c r="G148" s="179" t="s">
        <v>188</v>
      </c>
      <c r="H148" s="205"/>
      <c r="I148" s="305">
        <f>F148</f>
        <v>-9289.02</v>
      </c>
      <c r="J148" s="313"/>
      <c r="K148"/>
      <c r="L148"/>
      <c r="M148"/>
      <c r="N148"/>
    </row>
    <row r="149" spans="2:14" s="154" customFormat="1" ht="13.5" customHeight="1" x14ac:dyDescent="0.3">
      <c r="B149" s="161"/>
      <c r="C149" s="237" t="s">
        <v>107</v>
      </c>
      <c r="D149" s="1"/>
      <c r="E149" s="340"/>
      <c r="F149" s="227">
        <v>3</v>
      </c>
      <c r="G149" s="170"/>
      <c r="H149" s="165"/>
      <c r="I149" s="314">
        <f>F149</f>
        <v>3</v>
      </c>
      <c r="J149" s="292"/>
      <c r="K149"/>
      <c r="L149"/>
      <c r="M149"/>
      <c r="N149"/>
    </row>
    <row r="150" spans="2:14" s="154" customFormat="1" ht="13.5" customHeight="1" x14ac:dyDescent="0.3">
      <c r="B150" s="245"/>
      <c r="C150" s="238" t="s">
        <v>328</v>
      </c>
      <c r="D150" s="162"/>
      <c r="E150" s="345" t="s">
        <v>48</v>
      </c>
      <c r="F150" s="242"/>
      <c r="G150" s="179"/>
      <c r="H150" s="205"/>
      <c r="I150" s="308">
        <f>SUM(I148:I149)</f>
        <v>-9286.02</v>
      </c>
      <c r="J150" s="311"/>
      <c r="K150"/>
      <c r="L150"/>
      <c r="M150"/>
      <c r="N150"/>
    </row>
    <row r="151" spans="2:14" s="154" customFormat="1" ht="13.5" customHeight="1" x14ac:dyDescent="0.3">
      <c r="B151" s="196"/>
      <c r="C151" s="215"/>
      <c r="D151" s="215"/>
      <c r="E151" s="342"/>
      <c r="F151" s="228"/>
      <c r="G151" s="229"/>
      <c r="H151" s="176"/>
      <c r="I151" s="315"/>
      <c r="J151" s="316"/>
    </row>
    <row r="152" spans="2:14" s="154" customFormat="1" ht="13.5" customHeight="1" x14ac:dyDescent="0.3">
      <c r="B152" s="360" t="s">
        <v>332</v>
      </c>
      <c r="C152" s="361"/>
      <c r="D152" s="362"/>
      <c r="E152" s="372"/>
      <c r="F152" s="383"/>
      <c r="G152" s="384"/>
      <c r="H152" s="385"/>
      <c r="I152" s="386"/>
      <c r="J152" s="381">
        <f>SUM(I154:I170)</f>
        <v>6681.3899999999994</v>
      </c>
      <c r="K152" s="181"/>
    </row>
    <row r="153" spans="2:14" s="154" customFormat="1" ht="13.5" customHeight="1" x14ac:dyDescent="0.3">
      <c r="B153" s="246"/>
      <c r="C153" s="247"/>
      <c r="D153" s="222"/>
      <c r="E153" s="210"/>
      <c r="F153" s="225"/>
      <c r="G153" s="243"/>
      <c r="H153" s="244"/>
      <c r="I153" s="303"/>
      <c r="J153" s="304"/>
      <c r="K153" s="65"/>
      <c r="L153" s="65"/>
      <c r="M153" s="65"/>
      <c r="N153" s="65"/>
    </row>
    <row r="154" spans="2:14" s="154" customFormat="1" ht="13.5" customHeight="1" x14ac:dyDescent="0.3">
      <c r="B154" s="161"/>
      <c r="C154" s="162" t="s">
        <v>10</v>
      </c>
      <c r="D154" s="186" t="s">
        <v>305</v>
      </c>
      <c r="E154" s="248" t="s">
        <v>149</v>
      </c>
      <c r="F154" s="223"/>
      <c r="G154" s="170">
        <f>I154/H154</f>
        <v>48.75</v>
      </c>
      <c r="H154" s="165">
        <v>4</v>
      </c>
      <c r="I154" s="293">
        <v>195</v>
      </c>
      <c r="J154" s="294"/>
      <c r="N154" s="218"/>
    </row>
    <row r="155" spans="2:14" s="154" customFormat="1" ht="13.5" customHeight="1" x14ac:dyDescent="0.3">
      <c r="B155" s="161"/>
      <c r="C155" s="162"/>
      <c r="D155" s="186" t="s">
        <v>304</v>
      </c>
      <c r="E155" s="175" t="s">
        <v>63</v>
      </c>
      <c r="F155" s="223"/>
      <c r="G155" s="170">
        <f>I155/H155</f>
        <v>72.692307692307693</v>
      </c>
      <c r="H155" s="165">
        <v>13</v>
      </c>
      <c r="I155" s="293">
        <v>945</v>
      </c>
      <c r="J155" s="294"/>
      <c r="N155" s="218"/>
    </row>
    <row r="156" spans="2:14" s="154" customFormat="1" ht="13.5" customHeight="1" x14ac:dyDescent="0.3">
      <c r="B156" s="161"/>
      <c r="C156" s="178"/>
      <c r="D156" s="186"/>
      <c r="E156" s="175"/>
      <c r="F156" s="224"/>
      <c r="G156" s="170"/>
      <c r="H156" s="165"/>
      <c r="I156" s="293"/>
      <c r="J156" s="294"/>
    </row>
    <row r="157" spans="2:14" s="154" customFormat="1" ht="13.5" customHeight="1" x14ac:dyDescent="0.3">
      <c r="B157" s="161"/>
      <c r="C157" s="162" t="s">
        <v>24</v>
      </c>
      <c r="D157" s="186" t="s">
        <v>104</v>
      </c>
      <c r="E157" s="175" t="s">
        <v>326</v>
      </c>
      <c r="F157" s="223"/>
      <c r="G157" s="170"/>
      <c r="H157" s="165"/>
      <c r="I157" s="293">
        <f>F157</f>
        <v>0</v>
      </c>
      <c r="J157" s="294"/>
    </row>
    <row r="158" spans="2:14" s="154" customFormat="1" ht="13.5" customHeight="1" x14ac:dyDescent="0.3">
      <c r="B158" s="161"/>
      <c r="C158" s="162"/>
      <c r="D158" s="186" t="s">
        <v>105</v>
      </c>
      <c r="E158" s="175" t="s">
        <v>326</v>
      </c>
      <c r="F158" s="223"/>
      <c r="G158" s="170"/>
      <c r="H158" s="165"/>
      <c r="I158" s="293">
        <f t="shared" ref="I158:I168" si="1">F158</f>
        <v>0</v>
      </c>
      <c r="J158" s="294"/>
    </row>
    <row r="159" spans="2:14" s="154" customFormat="1" ht="13.5" customHeight="1" x14ac:dyDescent="0.3">
      <c r="B159" s="161"/>
      <c r="C159" s="162"/>
      <c r="D159" s="168" t="s">
        <v>308</v>
      </c>
      <c r="E159" s="175" t="s">
        <v>301</v>
      </c>
      <c r="F159" s="223"/>
      <c r="G159" s="170">
        <f>I159/H159</f>
        <v>34.21</v>
      </c>
      <c r="H159" s="165">
        <v>40</v>
      </c>
      <c r="I159" s="293">
        <f>1368.4</f>
        <v>1368.4</v>
      </c>
      <c r="J159" s="294"/>
    </row>
    <row r="160" spans="2:14" s="154" customFormat="1" ht="13.5" customHeight="1" x14ac:dyDescent="0.3">
      <c r="B160" s="161"/>
      <c r="C160" s="162"/>
      <c r="D160" s="168"/>
      <c r="E160" s="175"/>
      <c r="F160" s="223"/>
      <c r="G160" s="170"/>
      <c r="H160" s="165"/>
      <c r="I160" s="293"/>
      <c r="J160" s="294"/>
    </row>
    <row r="161" spans="2:14" s="154" customFormat="1" ht="13.5" customHeight="1" x14ac:dyDescent="0.3">
      <c r="B161" s="161"/>
      <c r="C161" s="178"/>
      <c r="D161" s="186" t="s">
        <v>318</v>
      </c>
      <c r="E161" s="175" t="s">
        <v>301</v>
      </c>
      <c r="F161" s="224">
        <f>52.99</f>
        <v>52.99</v>
      </c>
      <c r="G161" s="170"/>
      <c r="H161" s="165"/>
      <c r="I161" s="293">
        <f t="shared" si="1"/>
        <v>52.99</v>
      </c>
      <c r="J161" s="294"/>
    </row>
    <row r="162" spans="2:14" s="154" customFormat="1" ht="13.5" customHeight="1" x14ac:dyDescent="0.3">
      <c r="B162" s="161"/>
      <c r="C162" s="178"/>
      <c r="D162" s="186" t="s">
        <v>306</v>
      </c>
      <c r="E162" s="175" t="s">
        <v>307</v>
      </c>
      <c r="F162" s="224">
        <v>950</v>
      </c>
      <c r="G162" s="170"/>
      <c r="H162" s="165"/>
      <c r="I162" s="293">
        <f>F162</f>
        <v>950</v>
      </c>
      <c r="J162" s="294"/>
    </row>
    <row r="163" spans="2:14" s="154" customFormat="1" ht="13.5" customHeight="1" x14ac:dyDescent="0.3">
      <c r="B163" s="161"/>
      <c r="C163" s="178"/>
      <c r="D163" s="186" t="s">
        <v>310</v>
      </c>
      <c r="E163" s="175" t="s">
        <v>309</v>
      </c>
      <c r="F163" s="224">
        <v>1220</v>
      </c>
      <c r="G163" s="170"/>
      <c r="H163" s="165"/>
      <c r="I163" s="293">
        <f t="shared" si="1"/>
        <v>1220</v>
      </c>
      <c r="J163" s="294"/>
    </row>
    <row r="164" spans="2:14" s="154" customFormat="1" ht="13.5" customHeight="1" x14ac:dyDescent="0.3">
      <c r="B164" s="161"/>
      <c r="C164" s="178"/>
      <c r="D164" s="186"/>
      <c r="E164" s="175"/>
      <c r="F164" s="224"/>
      <c r="G164" s="170"/>
      <c r="H164" s="165"/>
      <c r="I164" s="293"/>
      <c r="J164" s="294"/>
    </row>
    <row r="165" spans="2:14" s="154" customFormat="1" ht="13.5" customHeight="1" x14ac:dyDescent="0.3">
      <c r="B165" s="161"/>
      <c r="C165" s="162" t="s">
        <v>25</v>
      </c>
      <c r="D165" s="186" t="s">
        <v>325</v>
      </c>
      <c r="E165" s="175" t="s">
        <v>326</v>
      </c>
      <c r="F165" s="223"/>
      <c r="G165" s="170"/>
      <c r="H165" s="165"/>
      <c r="I165" s="293">
        <f t="shared" si="1"/>
        <v>0</v>
      </c>
      <c r="J165" s="294"/>
    </row>
    <row r="166" spans="2:14" s="154" customFormat="1" ht="13.5" customHeight="1" x14ac:dyDescent="0.3">
      <c r="B166" s="161"/>
      <c r="C166" s="162"/>
      <c r="D166" s="186" t="s">
        <v>323</v>
      </c>
      <c r="E166" s="175" t="s">
        <v>322</v>
      </c>
      <c r="F166" s="223">
        <v>250</v>
      </c>
      <c r="G166" s="170"/>
      <c r="H166" s="165"/>
      <c r="I166" s="293">
        <f t="shared" si="1"/>
        <v>250</v>
      </c>
      <c r="J166" s="294"/>
    </row>
    <row r="167" spans="2:14" s="154" customFormat="1" ht="13.5" customHeight="1" x14ac:dyDescent="0.3">
      <c r="B167" s="161"/>
      <c r="C167" s="162"/>
      <c r="D167" s="186"/>
      <c r="E167" s="175"/>
      <c r="F167" s="223"/>
      <c r="G167" s="170"/>
      <c r="H167" s="165"/>
      <c r="I167" s="293"/>
      <c r="J167" s="294"/>
    </row>
    <row r="168" spans="2:14" s="154" customFormat="1" ht="13.5" customHeight="1" x14ac:dyDescent="0.3">
      <c r="B168" s="161"/>
      <c r="C168" s="162" t="s">
        <v>42</v>
      </c>
      <c r="D168" s="186" t="s">
        <v>324</v>
      </c>
      <c r="E168" s="175" t="s">
        <v>322</v>
      </c>
      <c r="F168" s="223">
        <v>500</v>
      </c>
      <c r="G168" s="170"/>
      <c r="H168" s="165"/>
      <c r="I168" s="293">
        <f t="shared" si="1"/>
        <v>500</v>
      </c>
      <c r="J168" s="294"/>
    </row>
    <row r="169" spans="2:14" s="154" customFormat="1" ht="13.5" customHeight="1" x14ac:dyDescent="0.3">
      <c r="B169" s="161"/>
      <c r="C169" s="162"/>
      <c r="D169" s="186"/>
      <c r="E169" s="175"/>
      <c r="F169" s="223"/>
      <c r="G169" s="170"/>
      <c r="H169" s="165"/>
      <c r="I169" s="293"/>
      <c r="J169" s="294"/>
    </row>
    <row r="170" spans="2:14" s="154" customFormat="1" ht="13.5" customHeight="1" x14ac:dyDescent="0.3">
      <c r="B170" s="161"/>
      <c r="C170" s="195"/>
      <c r="D170" s="163" t="s">
        <v>53</v>
      </c>
      <c r="E170" s="175" t="s">
        <v>120</v>
      </c>
      <c r="F170" s="224">
        <v>1200</v>
      </c>
      <c r="G170" s="170"/>
      <c r="H170" s="165"/>
      <c r="I170" s="293">
        <f>+F170</f>
        <v>1200</v>
      </c>
      <c r="J170" s="294"/>
      <c r="K170" s="154" t="s">
        <v>188</v>
      </c>
    </row>
    <row r="171" spans="2:14" s="154" customFormat="1" ht="13.5" customHeight="1" x14ac:dyDescent="0.3">
      <c r="B171" s="172"/>
      <c r="C171" s="173"/>
      <c r="D171" s="174"/>
      <c r="E171" s="175"/>
      <c r="F171" s="234"/>
      <c r="G171" s="235"/>
      <c r="H171" s="217"/>
      <c r="I171" s="317"/>
      <c r="J171" s="318"/>
    </row>
    <row r="172" spans="2:14" s="154" customFormat="1" ht="13.5" customHeight="1" x14ac:dyDescent="0.3">
      <c r="B172" s="360" t="s">
        <v>296</v>
      </c>
      <c r="C172" s="361"/>
      <c r="D172" s="362"/>
      <c r="E172" s="372"/>
      <c r="F172" s="383"/>
      <c r="G172" s="384"/>
      <c r="H172" s="385"/>
      <c r="I172" s="386"/>
      <c r="J172" s="381">
        <f>SUM(I174:I179)+I185</f>
        <v>4299.08</v>
      </c>
      <c r="K172" s="155"/>
    </row>
    <row r="173" spans="2:14" s="154" customFormat="1" ht="13.5" customHeight="1" x14ac:dyDescent="0.3">
      <c r="B173" s="193" t="s">
        <v>188</v>
      </c>
      <c r="E173" s="347"/>
      <c r="F173" s="249"/>
      <c r="G173" s="250"/>
      <c r="H173" s="251"/>
      <c r="I173" s="319"/>
      <c r="J173" s="320" t="s">
        <v>188</v>
      </c>
      <c r="K173" s="154" t="s">
        <v>188</v>
      </c>
    </row>
    <row r="174" spans="2:14" s="154" customFormat="1" ht="13.5" customHeight="1" x14ac:dyDescent="0.3">
      <c r="B174" s="169"/>
      <c r="C174" s="206" t="s">
        <v>59</v>
      </c>
      <c r="E174" s="346" t="s">
        <v>297</v>
      </c>
      <c r="F174" s="252"/>
      <c r="G174" s="203">
        <f>I174/H174</f>
        <v>1.1494</v>
      </c>
      <c r="H174" s="253">
        <v>200</v>
      </c>
      <c r="I174" s="305">
        <v>229.88</v>
      </c>
      <c r="J174" s="313"/>
    </row>
    <row r="175" spans="2:14" s="154" customFormat="1" ht="13.5" customHeight="1" x14ac:dyDescent="0.3">
      <c r="B175" s="169"/>
      <c r="C175" s="186" t="s">
        <v>299</v>
      </c>
      <c r="E175" s="340" t="s">
        <v>153</v>
      </c>
      <c r="F175" s="242"/>
      <c r="G175" s="179">
        <f>I175/H175</f>
        <v>3.8376739130434783</v>
      </c>
      <c r="H175" s="205">
        <v>460</v>
      </c>
      <c r="I175" s="305">
        <v>1765.33</v>
      </c>
      <c r="J175" s="292"/>
      <c r="K175" s="208" t="s">
        <v>188</v>
      </c>
    </row>
    <row r="176" spans="2:14" s="154" customFormat="1" ht="13.5" customHeight="1" x14ac:dyDescent="0.3">
      <c r="B176" s="169"/>
      <c r="C176" s="186" t="s">
        <v>75</v>
      </c>
      <c r="E176" s="340" t="s">
        <v>169</v>
      </c>
      <c r="F176" s="242"/>
      <c r="G176" s="179">
        <f>I176/H176</f>
        <v>2.7684000000000002</v>
      </c>
      <c r="H176" s="205">
        <v>500</v>
      </c>
      <c r="I176" s="305">
        <v>1384.2</v>
      </c>
      <c r="J176" s="292"/>
      <c r="K176" s="208" t="s">
        <v>298</v>
      </c>
      <c r="N176" s="214"/>
    </row>
    <row r="177" spans="2:11" s="154" customFormat="1" ht="13.5" customHeight="1" x14ac:dyDescent="0.3">
      <c r="B177" s="161"/>
      <c r="C177" s="186" t="s">
        <v>50</v>
      </c>
      <c r="E177" s="340" t="s">
        <v>300</v>
      </c>
      <c r="F177" s="242">
        <f>185.18</f>
        <v>185.18</v>
      </c>
      <c r="G177" s="170"/>
      <c r="H177" s="165"/>
      <c r="I177" s="293">
        <f t="shared" ref="I177:I179" si="2">F177</f>
        <v>185.18</v>
      </c>
      <c r="J177" s="292"/>
    </row>
    <row r="178" spans="2:11" s="154" customFormat="1" ht="13.5" customHeight="1" x14ac:dyDescent="0.3">
      <c r="B178" s="161"/>
      <c r="C178" s="186" t="s">
        <v>41</v>
      </c>
      <c r="E178" s="340" t="s">
        <v>301</v>
      </c>
      <c r="F178" s="254">
        <v>125.24</v>
      </c>
      <c r="G178" s="170"/>
      <c r="H178" s="165"/>
      <c r="I178" s="293">
        <f t="shared" si="2"/>
        <v>125.24</v>
      </c>
      <c r="J178" s="292"/>
      <c r="K178" s="216"/>
    </row>
    <row r="179" spans="2:11" s="154" customFormat="1" ht="13.5" customHeight="1" x14ac:dyDescent="0.3">
      <c r="B179" s="161"/>
      <c r="C179" s="186" t="s">
        <v>302</v>
      </c>
      <c r="E179" s="340" t="s">
        <v>303</v>
      </c>
      <c r="F179" s="242">
        <f>190.04+13.47-I190</f>
        <v>11</v>
      </c>
      <c r="G179" s="170"/>
      <c r="H179" s="165"/>
      <c r="I179" s="293">
        <f t="shared" si="2"/>
        <v>11</v>
      </c>
      <c r="J179" s="292"/>
      <c r="K179" s="216"/>
    </row>
    <row r="180" spans="2:11" s="154" customFormat="1" ht="13.5" customHeight="1" x14ac:dyDescent="0.3">
      <c r="B180" s="161"/>
      <c r="C180" s="162"/>
      <c r="D180" s="177"/>
      <c r="E180" s="340"/>
      <c r="F180" s="242"/>
      <c r="G180" s="170"/>
      <c r="H180" s="165"/>
      <c r="I180" s="293"/>
      <c r="J180" s="292"/>
      <c r="K180" s="216"/>
    </row>
    <row r="181" spans="2:11" s="154" customFormat="1" ht="13.5" customHeight="1" x14ac:dyDescent="0.3">
      <c r="B181" s="161"/>
      <c r="C181" s="271" t="s">
        <v>56</v>
      </c>
      <c r="D181" s="177"/>
      <c r="E181" s="340"/>
      <c r="F181" s="227">
        <v>275</v>
      </c>
      <c r="G181" s="170"/>
      <c r="H181" s="165"/>
      <c r="I181" s="293">
        <f>F181</f>
        <v>275</v>
      </c>
      <c r="J181" s="292"/>
    </row>
    <row r="182" spans="2:11" s="154" customFormat="1" ht="13.5" customHeight="1" x14ac:dyDescent="0.3">
      <c r="B182" s="169"/>
      <c r="C182" s="271" t="s">
        <v>110</v>
      </c>
      <c r="D182" s="177"/>
      <c r="E182" s="340"/>
      <c r="F182" s="227"/>
      <c r="G182" s="170">
        <v>2.75</v>
      </c>
      <c r="H182" s="165">
        <v>67</v>
      </c>
      <c r="I182" s="293">
        <f>G182*H182</f>
        <v>184.25</v>
      </c>
      <c r="J182" s="292"/>
    </row>
    <row r="183" spans="2:11" s="154" customFormat="1" ht="13.5" customHeight="1" x14ac:dyDescent="0.3">
      <c r="B183" s="169"/>
      <c r="C183" s="271" t="s">
        <v>79</v>
      </c>
      <c r="D183" s="177"/>
      <c r="E183" s="340"/>
      <c r="F183" s="227"/>
      <c r="G183" s="170">
        <v>0.11</v>
      </c>
      <c r="H183" s="165">
        <v>400</v>
      </c>
      <c r="I183" s="293">
        <f>G183*H183</f>
        <v>44</v>
      </c>
      <c r="J183" s="292"/>
    </row>
    <row r="184" spans="2:11" s="154" customFormat="1" ht="13.5" customHeight="1" x14ac:dyDescent="0.3">
      <c r="B184" s="161"/>
      <c r="C184" s="272" t="s">
        <v>58</v>
      </c>
      <c r="D184" s="177"/>
      <c r="E184" s="340"/>
      <c r="F184" s="227">
        <v>95</v>
      </c>
      <c r="G184" s="170"/>
      <c r="H184" s="165"/>
      <c r="I184" s="298">
        <f>F184</f>
        <v>95</v>
      </c>
      <c r="J184" s="292"/>
      <c r="K184" s="190"/>
    </row>
    <row r="185" spans="2:11" s="154" customFormat="1" ht="13.5" customHeight="1" x14ac:dyDescent="0.3">
      <c r="B185" s="161"/>
      <c r="C185" s="271" t="s">
        <v>327</v>
      </c>
      <c r="E185" s="340" t="s">
        <v>286</v>
      </c>
      <c r="F185" s="241"/>
      <c r="G185" s="232"/>
      <c r="H185" s="207"/>
      <c r="I185" s="293">
        <f>SUM(I181:I184)</f>
        <v>598.25</v>
      </c>
      <c r="J185" s="292"/>
      <c r="K185" s="190"/>
    </row>
    <row r="186" spans="2:11" s="154" customFormat="1" ht="13.5" customHeight="1" x14ac:dyDescent="0.3">
      <c r="B186" s="161"/>
      <c r="D186" s="178"/>
      <c r="E186" s="342"/>
      <c r="F186" s="255"/>
      <c r="G186" s="229"/>
      <c r="H186" s="176"/>
      <c r="I186" s="321"/>
      <c r="J186" s="316"/>
      <c r="K186" s="216"/>
    </row>
    <row r="187" spans="2:11" s="154" customFormat="1" ht="13.5" customHeight="1" x14ac:dyDescent="0.3">
      <c r="B187" s="360" t="s">
        <v>313</v>
      </c>
      <c r="C187" s="361"/>
      <c r="D187" s="362"/>
      <c r="E187" s="372"/>
      <c r="F187" s="383"/>
      <c r="G187" s="384"/>
      <c r="H187" s="385"/>
      <c r="I187" s="386"/>
      <c r="J187" s="381">
        <f>SUM(I189:I192)</f>
        <v>16673.84</v>
      </c>
    </row>
    <row r="188" spans="2:11" s="154" customFormat="1" ht="13.5" customHeight="1" x14ac:dyDescent="0.3">
      <c r="B188" s="219"/>
      <c r="D188" s="162"/>
      <c r="E188" s="339"/>
      <c r="F188" s="243"/>
      <c r="G188" s="226"/>
      <c r="H188" s="258"/>
      <c r="I188" s="322"/>
      <c r="J188" s="290"/>
      <c r="K188" s="190"/>
    </row>
    <row r="189" spans="2:11" s="154" customFormat="1" ht="13.5" customHeight="1" x14ac:dyDescent="0.3">
      <c r="B189" s="219"/>
      <c r="C189" s="162" t="s">
        <v>314</v>
      </c>
      <c r="E189" s="340" t="s">
        <v>316</v>
      </c>
      <c r="F189" s="167">
        <v>4804.34</v>
      </c>
      <c r="G189" s="170"/>
      <c r="H189" s="220"/>
      <c r="I189" s="293">
        <f>F189</f>
        <v>4804.34</v>
      </c>
      <c r="J189" s="292"/>
    </row>
    <row r="190" spans="2:11" s="154" customFormat="1" ht="13.5" customHeight="1" x14ac:dyDescent="0.3">
      <c r="B190" s="161"/>
      <c r="C190" s="162" t="s">
        <v>44</v>
      </c>
      <c r="E190" s="340" t="s">
        <v>315</v>
      </c>
      <c r="F190" s="167">
        <f>15.92+84.94+26.33+13.47+62.85-11</f>
        <v>192.51</v>
      </c>
      <c r="G190" s="170"/>
      <c r="H190" s="220"/>
      <c r="I190" s="293">
        <f t="shared" ref="I190:I191" si="3">F190</f>
        <v>192.51</v>
      </c>
      <c r="J190" s="292"/>
    </row>
    <row r="191" spans="2:11" s="154" customFormat="1" ht="13.5" customHeight="1" x14ac:dyDescent="0.3">
      <c r="B191" s="161"/>
      <c r="C191" s="162" t="s">
        <v>40</v>
      </c>
      <c r="E191" s="340" t="s">
        <v>317</v>
      </c>
      <c r="F191" s="167">
        <v>36.99</v>
      </c>
      <c r="G191" s="170"/>
      <c r="H191" s="220"/>
      <c r="I191" s="293">
        <f t="shared" si="3"/>
        <v>36.99</v>
      </c>
      <c r="J191" s="292"/>
    </row>
    <row r="192" spans="2:11" s="154" customFormat="1" ht="13.5" customHeight="1" x14ac:dyDescent="0.3">
      <c r="B192" s="161"/>
      <c r="C192" s="162" t="s">
        <v>335</v>
      </c>
      <c r="E192" s="340" t="s">
        <v>336</v>
      </c>
      <c r="F192" s="167" t="s">
        <v>188</v>
      </c>
      <c r="G192" s="170">
        <f>11640/H192</f>
        <v>29.1</v>
      </c>
      <c r="H192" s="165">
        <v>400</v>
      </c>
      <c r="I192" s="293">
        <f>G192*H192</f>
        <v>11640</v>
      </c>
      <c r="J192" s="292"/>
    </row>
    <row r="193" spans="2:11" s="154" customFormat="1" ht="13.5" customHeight="1" x14ac:dyDescent="0.3">
      <c r="B193" s="172"/>
      <c r="C193" s="173"/>
      <c r="D193" s="173"/>
      <c r="E193" s="354"/>
      <c r="F193" s="236"/>
      <c r="G193" s="229"/>
      <c r="H193" s="259"/>
      <c r="I193" s="323"/>
      <c r="J193" s="316"/>
    </row>
    <row r="194" spans="2:11" s="154" customFormat="1" ht="13.5" customHeight="1" x14ac:dyDescent="0.3">
      <c r="B194" s="369" t="s">
        <v>18</v>
      </c>
      <c r="C194" s="382"/>
      <c r="D194" s="371"/>
      <c r="E194" s="387"/>
      <c r="F194" s="377"/>
      <c r="G194" s="378"/>
      <c r="H194" s="379"/>
      <c r="I194" s="380"/>
      <c r="J194" s="388">
        <f>SUM(I196:I199)</f>
        <v>1760.18</v>
      </c>
    </row>
    <row r="195" spans="2:11" s="154" customFormat="1" ht="13.5" customHeight="1" x14ac:dyDescent="0.3">
      <c r="B195" s="156"/>
      <c r="C195" s="157"/>
      <c r="D195" s="348"/>
      <c r="E195" s="339"/>
      <c r="F195" s="351"/>
      <c r="G195" s="231"/>
      <c r="H195" s="185"/>
      <c r="I195" s="324"/>
      <c r="J195" s="325"/>
    </row>
    <row r="196" spans="2:11" s="154" customFormat="1" ht="13.5" customHeight="1" x14ac:dyDescent="0.3">
      <c r="B196" s="161"/>
      <c r="C196" s="162" t="s">
        <v>283</v>
      </c>
      <c r="D196" s="177"/>
      <c r="E196" s="340" t="s">
        <v>91</v>
      </c>
      <c r="F196" s="212">
        <v>750</v>
      </c>
      <c r="G196" s="170"/>
      <c r="H196" s="192"/>
      <c r="I196" s="293">
        <f>F196</f>
        <v>750</v>
      </c>
      <c r="J196" s="294"/>
      <c r="K196" s="190"/>
    </row>
    <row r="197" spans="2:11" s="154" customFormat="1" ht="13.5" customHeight="1" x14ac:dyDescent="0.3">
      <c r="B197" s="161"/>
      <c r="C197" s="162" t="s">
        <v>285</v>
      </c>
      <c r="D197" s="177"/>
      <c r="E197" s="340" t="s">
        <v>91</v>
      </c>
      <c r="F197" s="212">
        <v>449.63</v>
      </c>
      <c r="G197" s="170"/>
      <c r="H197" s="192"/>
      <c r="I197" s="293">
        <f>F197</f>
        <v>449.63</v>
      </c>
      <c r="J197" s="294"/>
    </row>
    <row r="198" spans="2:11" s="154" customFormat="1" ht="13.5" customHeight="1" x14ac:dyDescent="0.3">
      <c r="B198" s="161"/>
      <c r="C198" s="162" t="s">
        <v>200</v>
      </c>
      <c r="D198" s="177"/>
      <c r="E198" s="340" t="s">
        <v>91</v>
      </c>
      <c r="F198" s="212">
        <v>20</v>
      </c>
      <c r="G198" s="170"/>
      <c r="H198" s="192"/>
      <c r="I198" s="293">
        <f>F198</f>
        <v>20</v>
      </c>
      <c r="J198" s="294"/>
    </row>
    <row r="199" spans="2:11" s="154" customFormat="1" ht="13.5" customHeight="1" x14ac:dyDescent="0.3">
      <c r="B199" s="169"/>
      <c r="C199" s="162" t="s">
        <v>284</v>
      </c>
      <c r="D199" s="177"/>
      <c r="E199" s="340" t="s">
        <v>161</v>
      </c>
      <c r="F199" s="212">
        <v>540.54999999999995</v>
      </c>
      <c r="G199" s="170"/>
      <c r="H199" s="165"/>
      <c r="I199" s="293">
        <f>F199</f>
        <v>540.54999999999995</v>
      </c>
      <c r="J199" s="294"/>
      <c r="K199" s="190"/>
    </row>
    <row r="200" spans="2:11" s="199" customFormat="1" ht="13.5" customHeight="1" x14ac:dyDescent="0.3">
      <c r="B200" s="240"/>
      <c r="C200" s="238"/>
      <c r="D200" s="338"/>
      <c r="E200" s="355"/>
      <c r="F200" s="352"/>
      <c r="G200" s="267"/>
      <c r="H200" s="268"/>
      <c r="I200" s="326"/>
      <c r="J200" s="327"/>
    </row>
    <row r="201" spans="2:11" s="154" customFormat="1" ht="13.5" customHeight="1" x14ac:dyDescent="0.3">
      <c r="B201" s="369" t="s">
        <v>338</v>
      </c>
      <c r="C201" s="382"/>
      <c r="D201" s="371"/>
      <c r="E201" s="387"/>
      <c r="F201" s="389"/>
      <c r="G201" s="390"/>
      <c r="H201" s="391"/>
      <c r="I201" s="392"/>
      <c r="J201" s="393">
        <f>SUM(I203:I205)</f>
        <v>1244.0339999999999</v>
      </c>
    </row>
    <row r="202" spans="2:11" s="154" customFormat="1" ht="13.5" customHeight="1" x14ac:dyDescent="0.3">
      <c r="B202" s="156"/>
      <c r="C202" s="157"/>
      <c r="D202" s="348"/>
      <c r="E202" s="339"/>
      <c r="F202" s="243"/>
      <c r="G202" s="226"/>
      <c r="H202" s="160"/>
      <c r="I202" s="289"/>
      <c r="J202" s="328"/>
    </row>
    <row r="203" spans="2:11" s="154" customFormat="1" ht="13.5" customHeight="1" x14ac:dyDescent="0.3">
      <c r="B203" s="169"/>
      <c r="C203" s="271" t="s">
        <v>83</v>
      </c>
      <c r="D203" s="177"/>
      <c r="E203" s="340" t="s">
        <v>286</v>
      </c>
      <c r="F203" s="353">
        <f>2*400</f>
        <v>800</v>
      </c>
      <c r="G203" s="170"/>
      <c r="H203" s="165"/>
      <c r="I203" s="293">
        <f>F203</f>
        <v>800</v>
      </c>
      <c r="J203" s="294"/>
    </row>
    <row r="204" spans="2:11" s="154" customFormat="1" ht="13.5" customHeight="1" x14ac:dyDescent="0.3">
      <c r="B204" s="161"/>
      <c r="C204" s="271" t="s">
        <v>109</v>
      </c>
      <c r="D204" s="177"/>
      <c r="E204" s="340" t="s">
        <v>286</v>
      </c>
      <c r="F204" s="353">
        <v>314.50400000000002</v>
      </c>
      <c r="G204" s="170"/>
      <c r="H204" s="165"/>
      <c r="I204" s="293">
        <f>F204</f>
        <v>314.50400000000002</v>
      </c>
      <c r="J204" s="294"/>
    </row>
    <row r="205" spans="2:11" s="154" customFormat="1" ht="13.5" customHeight="1" x14ac:dyDescent="0.3">
      <c r="B205" s="161"/>
      <c r="C205" s="273" t="s">
        <v>111</v>
      </c>
      <c r="D205" s="177"/>
      <c r="E205" s="340" t="s">
        <v>277</v>
      </c>
      <c r="F205" s="230">
        <v>129.53</v>
      </c>
      <c r="G205" s="170"/>
      <c r="H205" s="165"/>
      <c r="I205" s="293">
        <f>F205</f>
        <v>129.53</v>
      </c>
      <c r="J205" s="294"/>
      <c r="K205"/>
    </row>
    <row r="206" spans="2:11" s="154" customFormat="1" ht="13.5" customHeight="1" x14ac:dyDescent="0.3">
      <c r="B206" s="196"/>
      <c r="C206" s="197"/>
      <c r="D206" s="349"/>
      <c r="E206" s="342"/>
      <c r="F206" s="236"/>
      <c r="G206" s="229"/>
      <c r="H206" s="176"/>
      <c r="I206" s="323"/>
      <c r="J206" s="329"/>
      <c r="K206" s="166"/>
    </row>
    <row r="207" spans="2:11" s="154" customFormat="1" ht="13.5" customHeight="1" x14ac:dyDescent="0.3">
      <c r="B207" s="360" t="s">
        <v>20</v>
      </c>
      <c r="C207" s="361"/>
      <c r="D207" s="362"/>
      <c r="E207" s="387"/>
      <c r="F207" s="377"/>
      <c r="G207" s="378"/>
      <c r="H207" s="379"/>
      <c r="I207" s="380"/>
      <c r="J207" s="381">
        <f>SUM(I209:I211)</f>
        <v>19667.71</v>
      </c>
    </row>
    <row r="208" spans="2:11" s="154" customFormat="1" ht="13.5" customHeight="1" x14ac:dyDescent="0.3">
      <c r="B208" s="183"/>
      <c r="C208" s="184" t="s">
        <v>188</v>
      </c>
      <c r="D208" s="350"/>
      <c r="E208" s="356"/>
      <c r="F208" s="351"/>
      <c r="G208" s="231"/>
      <c r="H208" s="185"/>
      <c r="I208" s="324"/>
      <c r="J208" s="330"/>
      <c r="K208" s="216"/>
    </row>
    <row r="209" spans="2:11" s="154" customFormat="1" ht="13.5" customHeight="1" x14ac:dyDescent="0.3">
      <c r="B209" s="161"/>
      <c r="C209" s="257" t="s">
        <v>71</v>
      </c>
      <c r="D209" s="177"/>
      <c r="E209" s="345" t="s">
        <v>77</v>
      </c>
      <c r="F209" s="230">
        <v>19258</v>
      </c>
      <c r="G209" s="170"/>
      <c r="H209" s="165"/>
      <c r="I209" s="331">
        <f>F209</f>
        <v>19258</v>
      </c>
      <c r="J209" s="302"/>
      <c r="K209" s="154" t="s">
        <v>188</v>
      </c>
    </row>
    <row r="210" spans="2:11" s="154" customFormat="1" ht="13.5" customHeight="1" x14ac:dyDescent="0.3">
      <c r="B210" s="161"/>
      <c r="C210" s="257" t="s">
        <v>329</v>
      </c>
      <c r="D210" s="177"/>
      <c r="E210" s="345" t="s">
        <v>277</v>
      </c>
      <c r="F210" s="230">
        <v>237.37</v>
      </c>
      <c r="G210" s="170"/>
      <c r="H210" s="165"/>
      <c r="I210" s="331">
        <f>F210</f>
        <v>237.37</v>
      </c>
      <c r="J210" s="302"/>
      <c r="K210" s="154" t="s">
        <v>188</v>
      </c>
    </row>
    <row r="211" spans="2:11" s="154" customFormat="1" ht="13.5" customHeight="1" x14ac:dyDescent="0.3">
      <c r="B211" s="161"/>
      <c r="C211" s="257" t="s">
        <v>330</v>
      </c>
      <c r="D211" s="177"/>
      <c r="E211" s="345" t="s">
        <v>77</v>
      </c>
      <c r="F211" s="230">
        <v>172.34</v>
      </c>
      <c r="G211" s="170"/>
      <c r="H211" s="165"/>
      <c r="I211" s="331">
        <v>172.34</v>
      </c>
      <c r="J211" s="302"/>
    </row>
    <row r="212" spans="2:11" s="154" customFormat="1" ht="13.5" customHeight="1" x14ac:dyDescent="0.3">
      <c r="B212" s="161"/>
      <c r="C212" s="162"/>
      <c r="D212" s="221"/>
      <c r="E212" s="357"/>
      <c r="F212" s="230"/>
      <c r="G212" s="170"/>
      <c r="H212" s="165"/>
      <c r="I212" s="331"/>
      <c r="J212" s="302"/>
    </row>
    <row r="213" spans="2:11" s="154" customFormat="1" ht="13.5" customHeight="1" x14ac:dyDescent="0.3">
      <c r="B213" s="360" t="s">
        <v>339</v>
      </c>
      <c r="C213" s="361"/>
      <c r="D213" s="362"/>
      <c r="E213" s="387"/>
      <c r="F213" s="377"/>
      <c r="G213" s="378"/>
      <c r="H213" s="379"/>
      <c r="I213" s="380"/>
      <c r="J213" s="381">
        <f>SUM(I215:I217)</f>
        <v>618.15</v>
      </c>
    </row>
    <row r="214" spans="2:11" s="154" customFormat="1" ht="13.5" customHeight="1" x14ac:dyDescent="0.3">
      <c r="B214" s="183"/>
      <c r="C214" s="184"/>
      <c r="D214" s="350"/>
      <c r="E214" s="356"/>
      <c r="F214" s="351"/>
      <c r="G214" s="231"/>
      <c r="H214" s="185"/>
      <c r="I214" s="324"/>
      <c r="J214" s="332"/>
      <c r="K214" s="216"/>
    </row>
    <row r="215" spans="2:11" s="154" customFormat="1" ht="13.5" customHeight="1" x14ac:dyDescent="0.3">
      <c r="B215" s="161"/>
      <c r="C215" s="162" t="s">
        <v>54</v>
      </c>
      <c r="D215" s="177"/>
      <c r="E215" s="340" t="s">
        <v>277</v>
      </c>
      <c r="F215" s="212">
        <v>45.77</v>
      </c>
      <c r="G215" s="170"/>
      <c r="H215" s="165"/>
      <c r="I215" s="293">
        <f>F215</f>
        <v>45.77</v>
      </c>
      <c r="J215" s="294"/>
    </row>
    <row r="216" spans="2:11" s="154" customFormat="1" ht="13.5" customHeight="1" x14ac:dyDescent="0.3">
      <c r="B216" s="161"/>
      <c r="C216" s="162" t="s">
        <v>62</v>
      </c>
      <c r="D216" s="177"/>
      <c r="E216" s="340" t="s">
        <v>320</v>
      </c>
      <c r="F216" s="212">
        <v>500</v>
      </c>
      <c r="G216" s="170"/>
      <c r="H216" s="165"/>
      <c r="I216" s="293">
        <v>500</v>
      </c>
      <c r="J216" s="294"/>
      <c r="K216" s="216"/>
    </row>
    <row r="217" spans="2:11" s="154" customFormat="1" ht="13.5" customHeight="1" x14ac:dyDescent="0.3">
      <c r="B217" s="161"/>
      <c r="C217" s="162" t="s">
        <v>319</v>
      </c>
      <c r="D217" s="177"/>
      <c r="E217" s="340" t="s">
        <v>321</v>
      </c>
      <c r="F217" s="230">
        <v>72.38</v>
      </c>
      <c r="G217" s="170"/>
      <c r="H217" s="165"/>
      <c r="I217" s="293">
        <f>+F217</f>
        <v>72.38</v>
      </c>
      <c r="J217" s="294"/>
    </row>
    <row r="218" spans="2:11" s="154" customFormat="1" ht="13.5" customHeight="1" thickBot="1" x14ac:dyDescent="0.35">
      <c r="B218" s="161"/>
      <c r="C218" s="178"/>
      <c r="D218" s="178"/>
      <c r="E218" s="340"/>
      <c r="F218" s="230"/>
      <c r="G218" s="170"/>
      <c r="H218" s="165"/>
      <c r="I218" s="287"/>
      <c r="J218" s="294"/>
    </row>
    <row r="219" spans="2:11" s="154" customFormat="1" ht="13.5" customHeight="1" thickBot="1" x14ac:dyDescent="0.35">
      <c r="B219" s="266" t="s">
        <v>21</v>
      </c>
      <c r="C219" s="260"/>
      <c r="D219" s="261"/>
      <c r="E219" s="262"/>
      <c r="F219" s="263" t="s">
        <v>188</v>
      </c>
      <c r="G219" s="264"/>
      <c r="H219" s="265" t="s">
        <v>188</v>
      </c>
      <c r="I219" s="358"/>
      <c r="J219" s="359">
        <f>J207+J187+J152+J172+J54+J194+J33+J16+J12+J5+J213+J201</f>
        <v>267810.34399999992</v>
      </c>
    </row>
  </sheetData>
  <mergeCells count="1">
    <mergeCell ref="G2:H2"/>
  </mergeCells>
  <printOptions headings="1"/>
  <pageMargins left="0.47" right="0.25" top="0.41" bottom="0.41" header="0.3" footer="0.3"/>
  <pageSetup scale="83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L84"/>
  <sheetViews>
    <sheetView showGridLines="0" workbookViewId="0"/>
  </sheetViews>
  <sheetFormatPr defaultRowHeight="13.2" x14ac:dyDescent="0.25"/>
  <cols>
    <col min="1" max="1" width="3.6640625" style="26" customWidth="1"/>
    <col min="2" max="2" width="13.33203125" style="25" customWidth="1"/>
    <col min="3" max="3" width="11.21875" style="25" customWidth="1"/>
    <col min="4" max="4" width="32.88671875" style="26" customWidth="1"/>
    <col min="5" max="5" width="19.77734375" style="26" customWidth="1"/>
    <col min="6" max="6" width="19.77734375" style="16" customWidth="1"/>
    <col min="7" max="7" width="19.77734375" style="26" customWidth="1"/>
    <col min="8" max="8" width="21" style="26" customWidth="1"/>
    <col min="9" max="9" width="20.5546875" style="25" customWidth="1"/>
    <col min="10" max="10" width="10.88671875" style="26" customWidth="1"/>
    <col min="11" max="16384" width="8.88671875" style="26"/>
  </cols>
  <sheetData>
    <row r="1" spans="2:12" ht="13.8" thickBot="1" x14ac:dyDescent="0.3">
      <c r="B1" s="4"/>
      <c r="C1" s="4"/>
      <c r="D1" s="5"/>
      <c r="E1" s="5"/>
    </row>
    <row r="2" spans="2:12" ht="13.8" thickBot="1" x14ac:dyDescent="0.3">
      <c r="B2" s="28" t="s">
        <v>47</v>
      </c>
      <c r="C2" s="29" t="s">
        <v>189</v>
      </c>
      <c r="D2" s="30" t="s">
        <v>190</v>
      </c>
      <c r="E2" s="31" t="s">
        <v>193</v>
      </c>
      <c r="F2" s="32" t="s">
        <v>195</v>
      </c>
      <c r="G2" s="33" t="s">
        <v>194</v>
      </c>
      <c r="H2" s="25"/>
      <c r="I2" s="26"/>
    </row>
    <row r="3" spans="2:12" x14ac:dyDescent="0.25">
      <c r="B3" s="22"/>
      <c r="C3" s="23"/>
      <c r="D3" s="24"/>
      <c r="E3" s="16"/>
      <c r="F3" s="15" t="s">
        <v>188</v>
      </c>
      <c r="H3" s="25"/>
      <c r="I3" s="26"/>
    </row>
    <row r="4" spans="2:12" x14ac:dyDescent="0.25">
      <c r="B4" s="22">
        <v>42821</v>
      </c>
      <c r="C4" s="23" t="s">
        <v>123</v>
      </c>
      <c r="D4" s="6" t="s">
        <v>191</v>
      </c>
      <c r="E4" s="17">
        <v>114517.5</v>
      </c>
      <c r="F4" s="17">
        <v>-2862.9</v>
      </c>
      <c r="G4" s="17">
        <f t="shared" ref="G4:G13" si="0">E4+F4</f>
        <v>111654.6</v>
      </c>
      <c r="H4" s="18"/>
      <c r="I4" s="26"/>
    </row>
    <row r="5" spans="2:12" x14ac:dyDescent="0.25">
      <c r="B5" s="22">
        <v>42837</v>
      </c>
      <c r="C5" s="23" t="s">
        <v>123</v>
      </c>
      <c r="D5" s="6" t="s">
        <v>191</v>
      </c>
      <c r="E5" s="17">
        <v>25482.5</v>
      </c>
      <c r="F5" s="17">
        <v>-637.04999999999995</v>
      </c>
      <c r="G5" s="17">
        <f t="shared" si="0"/>
        <v>24845.45</v>
      </c>
      <c r="H5" s="18"/>
      <c r="I5" s="26"/>
    </row>
    <row r="6" spans="2:12" x14ac:dyDescent="0.25">
      <c r="B6" s="22">
        <v>42846</v>
      </c>
      <c r="C6" s="23" t="s">
        <v>123</v>
      </c>
      <c r="D6" s="6" t="s">
        <v>191</v>
      </c>
      <c r="E6" s="17">
        <v>75415</v>
      </c>
      <c r="F6" s="17">
        <v>-1885.36</v>
      </c>
      <c r="G6" s="17">
        <f t="shared" si="0"/>
        <v>73529.64</v>
      </c>
      <c r="H6" s="18"/>
      <c r="I6" s="26"/>
    </row>
    <row r="7" spans="2:12" s="8" customFormat="1" x14ac:dyDescent="0.25">
      <c r="B7" s="7">
        <v>42860</v>
      </c>
      <c r="C7" s="23" t="s">
        <v>123</v>
      </c>
      <c r="D7" s="6" t="s">
        <v>191</v>
      </c>
      <c r="E7" s="17">
        <v>6225</v>
      </c>
      <c r="F7" s="17">
        <v>-155.62</v>
      </c>
      <c r="G7" s="17">
        <f t="shared" si="0"/>
        <v>6069.38</v>
      </c>
      <c r="H7" s="19"/>
    </row>
    <row r="8" spans="2:12" x14ac:dyDescent="0.25">
      <c r="B8" s="22">
        <v>42880</v>
      </c>
      <c r="C8" s="23" t="s">
        <v>123</v>
      </c>
      <c r="D8" s="6" t="s">
        <v>191</v>
      </c>
      <c r="E8" s="17">
        <v>13852.5</v>
      </c>
      <c r="F8" s="17">
        <v>-346.3</v>
      </c>
      <c r="G8" s="17">
        <f t="shared" si="0"/>
        <v>13506.2</v>
      </c>
      <c r="H8" s="18"/>
      <c r="I8" s="26"/>
    </row>
    <row r="9" spans="2:12" x14ac:dyDescent="0.25">
      <c r="B9" s="22">
        <v>42895</v>
      </c>
      <c r="C9" s="23" t="s">
        <v>123</v>
      </c>
      <c r="D9" s="6" t="s">
        <v>191</v>
      </c>
      <c r="E9" s="17">
        <v>8467.5</v>
      </c>
      <c r="F9" s="17">
        <v>-211.67</v>
      </c>
      <c r="G9" s="17">
        <f t="shared" si="0"/>
        <v>8255.83</v>
      </c>
      <c r="H9" s="18"/>
      <c r="I9" s="26"/>
    </row>
    <row r="10" spans="2:12" x14ac:dyDescent="0.25">
      <c r="B10" s="22">
        <v>42913</v>
      </c>
      <c r="C10" s="23" t="s">
        <v>123</v>
      </c>
      <c r="D10" s="6" t="s">
        <v>191</v>
      </c>
      <c r="E10" s="17">
        <v>36492.5</v>
      </c>
      <c r="F10" s="17">
        <v>-912.26</v>
      </c>
      <c r="G10" s="17">
        <f t="shared" si="0"/>
        <v>35580.239999999998</v>
      </c>
      <c r="H10" s="18"/>
      <c r="I10" s="26"/>
    </row>
    <row r="11" spans="2:12" s="9" customFormat="1" x14ac:dyDescent="0.25">
      <c r="B11" s="7">
        <v>42913</v>
      </c>
      <c r="C11" s="23" t="s">
        <v>123</v>
      </c>
      <c r="D11" s="6" t="s">
        <v>192</v>
      </c>
      <c r="E11" s="17">
        <f>438.75/0.975</f>
        <v>450</v>
      </c>
      <c r="F11" s="17">
        <f>E11*-0.025</f>
        <v>-11.25</v>
      </c>
      <c r="G11" s="17">
        <f t="shared" si="0"/>
        <v>438.75</v>
      </c>
      <c r="H11" s="21"/>
    </row>
    <row r="12" spans="2:12" s="9" customFormat="1" x14ac:dyDescent="0.25">
      <c r="B12" s="7">
        <v>42913</v>
      </c>
      <c r="C12" s="23" t="s">
        <v>123</v>
      </c>
      <c r="D12" s="6" t="s">
        <v>192</v>
      </c>
      <c r="E12" s="17">
        <v>100</v>
      </c>
      <c r="F12" s="17">
        <f>E12*-0.025</f>
        <v>-2.5</v>
      </c>
      <c r="G12" s="17">
        <f t="shared" si="0"/>
        <v>97.5</v>
      </c>
      <c r="H12" s="21"/>
    </row>
    <row r="13" spans="2:12" ht="15.6" x14ac:dyDescent="0.25">
      <c r="B13" s="46">
        <v>42926</v>
      </c>
      <c r="C13" s="27" t="s">
        <v>333</v>
      </c>
      <c r="D13" s="41" t="s">
        <v>226</v>
      </c>
      <c r="E13" s="42">
        <v>-1270</v>
      </c>
      <c r="F13" s="42">
        <v>0</v>
      </c>
      <c r="G13" s="20">
        <f t="shared" si="0"/>
        <v>-1270</v>
      </c>
      <c r="I13" s="43"/>
      <c r="J13" s="14"/>
      <c r="K13" s="44"/>
      <c r="L13" s="15"/>
    </row>
    <row r="14" spans="2:12" x14ac:dyDescent="0.25">
      <c r="B14" s="22"/>
      <c r="C14" s="23"/>
      <c r="D14" s="6" t="s">
        <v>196</v>
      </c>
      <c r="E14" s="17">
        <f>SUM(E4:E13)</f>
        <v>279732.5</v>
      </c>
      <c r="F14" s="17">
        <f t="shared" ref="F14:G14" si="1">SUM(F4:F13)</f>
        <v>-7024.91</v>
      </c>
      <c r="G14" s="17">
        <f t="shared" si="1"/>
        <v>272707.59000000003</v>
      </c>
      <c r="H14" s="18"/>
      <c r="I14" s="26"/>
    </row>
    <row r="15" spans="2:12" ht="13.8" thickBot="1" x14ac:dyDescent="0.3">
      <c r="B15" s="22"/>
      <c r="C15" s="23"/>
      <c r="D15" s="36" t="s">
        <v>197</v>
      </c>
      <c r="E15" s="20">
        <v>-8220</v>
      </c>
      <c r="F15" s="20">
        <v>205.5</v>
      </c>
      <c r="G15" s="20">
        <f>E15+F15</f>
        <v>-8014.5</v>
      </c>
      <c r="H15" s="20"/>
    </row>
    <row r="16" spans="2:12" ht="13.8" thickBot="1" x14ac:dyDescent="0.3">
      <c r="B16" s="22"/>
      <c r="C16" s="23"/>
      <c r="D16" s="38" t="s">
        <v>198</v>
      </c>
      <c r="E16" s="62">
        <f>E14+E15</f>
        <v>271512.5</v>
      </c>
      <c r="F16" s="62">
        <f t="shared" ref="F16:G16" si="2">F14+F15</f>
        <v>-6819.41</v>
      </c>
      <c r="G16" s="63">
        <f t="shared" si="2"/>
        <v>264693.09000000003</v>
      </c>
      <c r="H16" s="18" t="s">
        <v>188</v>
      </c>
    </row>
    <row r="17" spans="2:11" ht="19.8" customHeight="1" thickBot="1" x14ac:dyDescent="0.3">
      <c r="B17" s="22"/>
      <c r="C17" s="23"/>
      <c r="D17" s="24"/>
      <c r="E17" s="24"/>
      <c r="G17" s="16"/>
    </row>
    <row r="18" spans="2:11" ht="13.8" thickBot="1" x14ac:dyDescent="0.3">
      <c r="B18" s="28" t="s">
        <v>47</v>
      </c>
      <c r="C18" s="29" t="s">
        <v>189</v>
      </c>
      <c r="D18" s="30" t="s">
        <v>190</v>
      </c>
      <c r="E18" s="31" t="s">
        <v>46</v>
      </c>
      <c r="F18" s="40" t="s">
        <v>113</v>
      </c>
      <c r="G18" s="33"/>
    </row>
    <row r="19" spans="2:11" x14ac:dyDescent="0.25">
      <c r="B19" s="22"/>
      <c r="C19" s="23"/>
      <c r="D19" s="24"/>
      <c r="E19" s="24"/>
      <c r="H19" s="15"/>
    </row>
    <row r="20" spans="2:11" s="71" customFormat="1" x14ac:dyDescent="0.3">
      <c r="B20" s="394">
        <v>42499</v>
      </c>
      <c r="C20" s="395" t="s">
        <v>114</v>
      </c>
      <c r="D20" s="396" t="s">
        <v>48</v>
      </c>
      <c r="E20" s="397">
        <v>-5000</v>
      </c>
      <c r="F20" s="398" t="s">
        <v>115</v>
      </c>
      <c r="H20" s="399"/>
      <c r="I20" s="400"/>
      <c r="J20" s="397"/>
      <c r="K20" s="401"/>
    </row>
    <row r="21" spans="2:11" s="71" customFormat="1" x14ac:dyDescent="0.3">
      <c r="B21" s="394">
        <v>42647</v>
      </c>
      <c r="C21" s="395" t="s">
        <v>116</v>
      </c>
      <c r="D21" s="402" t="s">
        <v>117</v>
      </c>
      <c r="E21" s="403">
        <v>-36.19</v>
      </c>
      <c r="F21" s="398" t="s">
        <v>118</v>
      </c>
      <c r="H21" s="402" t="s">
        <v>188</v>
      </c>
      <c r="I21" s="400"/>
      <c r="J21" s="403"/>
      <c r="K21" s="401"/>
    </row>
    <row r="22" spans="2:11" s="71" customFormat="1" x14ac:dyDescent="0.3">
      <c r="B22" s="394">
        <v>42655</v>
      </c>
      <c r="C22" s="395" t="s">
        <v>119</v>
      </c>
      <c r="D22" s="404" t="s">
        <v>120</v>
      </c>
      <c r="E22" s="403">
        <v>-300</v>
      </c>
      <c r="F22" s="398" t="s">
        <v>211</v>
      </c>
      <c r="H22" s="404"/>
      <c r="I22" s="400"/>
      <c r="J22" s="403"/>
      <c r="K22" s="401"/>
    </row>
    <row r="23" spans="2:11" s="71" customFormat="1" x14ac:dyDescent="0.3">
      <c r="B23" s="394">
        <v>42689</v>
      </c>
      <c r="C23" s="395" t="s">
        <v>116</v>
      </c>
      <c r="D23" s="402" t="s">
        <v>117</v>
      </c>
      <c r="E23" s="405">
        <v>-36.19</v>
      </c>
      <c r="F23" s="398" t="s">
        <v>118</v>
      </c>
      <c r="H23" s="402"/>
      <c r="I23" s="400"/>
      <c r="J23" s="405"/>
      <c r="K23" s="401"/>
    </row>
    <row r="24" spans="2:11" s="71" customFormat="1" x14ac:dyDescent="0.3">
      <c r="B24" s="394">
        <v>42696</v>
      </c>
      <c r="C24" s="395" t="s">
        <v>121</v>
      </c>
      <c r="D24" s="404" t="s">
        <v>122</v>
      </c>
      <c r="E24" s="405">
        <v>-400</v>
      </c>
      <c r="F24" s="398" t="s">
        <v>95</v>
      </c>
      <c r="H24" s="404"/>
      <c r="I24" s="400"/>
      <c r="J24" s="405"/>
      <c r="K24" s="401"/>
    </row>
    <row r="25" spans="2:11" s="71" customFormat="1" x14ac:dyDescent="0.3">
      <c r="B25" s="394">
        <v>42738</v>
      </c>
      <c r="C25" s="395" t="s">
        <v>124</v>
      </c>
      <c r="D25" s="404" t="s">
        <v>63</v>
      </c>
      <c r="E25" s="405">
        <v>-540</v>
      </c>
      <c r="F25" s="398" t="s">
        <v>216</v>
      </c>
      <c r="H25" s="404"/>
      <c r="I25" s="400"/>
      <c r="J25" s="405"/>
      <c r="K25" s="401"/>
    </row>
    <row r="26" spans="2:11" s="71" customFormat="1" x14ac:dyDescent="0.3">
      <c r="B26" s="394">
        <v>42747</v>
      </c>
      <c r="C26" s="395" t="s">
        <v>116</v>
      </c>
      <c r="D26" s="402" t="s">
        <v>125</v>
      </c>
      <c r="E26" s="405">
        <v>-1288.1400000000001</v>
      </c>
      <c r="F26" s="406" t="s">
        <v>212</v>
      </c>
      <c r="H26" s="402"/>
      <c r="I26" s="400"/>
      <c r="J26" s="405"/>
      <c r="K26" s="401"/>
    </row>
    <row r="27" spans="2:11" s="71" customFormat="1" x14ac:dyDescent="0.3">
      <c r="B27" s="394">
        <v>42765</v>
      </c>
      <c r="C27" s="395" t="s">
        <v>126</v>
      </c>
      <c r="D27" s="404" t="s">
        <v>77</v>
      </c>
      <c r="E27" s="405">
        <v>-1738</v>
      </c>
      <c r="F27" s="398" t="s">
        <v>127</v>
      </c>
      <c r="H27" s="404"/>
      <c r="I27" s="400"/>
      <c r="J27" s="405"/>
      <c r="K27" s="401"/>
    </row>
    <row r="28" spans="2:11" s="71" customFormat="1" x14ac:dyDescent="0.3">
      <c r="B28" s="394">
        <v>42831</v>
      </c>
      <c r="C28" s="395" t="s">
        <v>128</v>
      </c>
      <c r="D28" s="404" t="s">
        <v>129</v>
      </c>
      <c r="E28" s="405">
        <v>-598.25</v>
      </c>
      <c r="F28" s="398" t="s">
        <v>80</v>
      </c>
      <c r="H28" s="404"/>
      <c r="I28" s="400"/>
      <c r="J28" s="405"/>
      <c r="K28" s="401"/>
    </row>
    <row r="29" spans="2:11" s="71" customFormat="1" x14ac:dyDescent="0.3">
      <c r="B29" s="394">
        <v>42836</v>
      </c>
      <c r="C29" s="395" t="s">
        <v>130</v>
      </c>
      <c r="D29" s="404" t="s">
        <v>82</v>
      </c>
      <c r="E29" s="405">
        <v>-23.92</v>
      </c>
      <c r="F29" s="398" t="s">
        <v>213</v>
      </c>
      <c r="H29" s="404"/>
      <c r="I29" s="400"/>
      <c r="J29" s="405"/>
      <c r="K29" s="401"/>
    </row>
    <row r="30" spans="2:11" s="71" customFormat="1" x14ac:dyDescent="0.3">
      <c r="B30" s="394">
        <v>42858</v>
      </c>
      <c r="C30" s="395" t="s">
        <v>131</v>
      </c>
      <c r="D30" s="404" t="s">
        <v>48</v>
      </c>
      <c r="E30" s="405">
        <v>-36000</v>
      </c>
      <c r="F30" s="398" t="s">
        <v>115</v>
      </c>
      <c r="H30" s="404"/>
      <c r="I30" s="400"/>
      <c r="J30" s="405"/>
      <c r="K30" s="401"/>
    </row>
    <row r="31" spans="2:11" s="71" customFormat="1" x14ac:dyDescent="0.3">
      <c r="B31" s="394">
        <v>42874</v>
      </c>
      <c r="C31" s="395" t="s">
        <v>132</v>
      </c>
      <c r="D31" s="404" t="s">
        <v>133</v>
      </c>
      <c r="E31" s="405">
        <v>-500</v>
      </c>
      <c r="F31" s="398" t="s">
        <v>134</v>
      </c>
      <c r="H31" s="404"/>
      <c r="I31" s="400"/>
      <c r="J31" s="405"/>
      <c r="K31" s="401"/>
    </row>
    <row r="32" spans="2:11" s="71" customFormat="1" x14ac:dyDescent="0.3">
      <c r="B32" s="394">
        <v>42874</v>
      </c>
      <c r="C32" s="395" t="s">
        <v>135</v>
      </c>
      <c r="D32" s="404" t="s">
        <v>153</v>
      </c>
      <c r="E32" s="405">
        <v>-1035.5</v>
      </c>
      <c r="F32" s="398" t="s">
        <v>214</v>
      </c>
      <c r="H32" s="404"/>
      <c r="I32" s="400"/>
      <c r="J32" s="405"/>
      <c r="K32" s="401"/>
    </row>
    <row r="33" spans="2:11" s="71" customFormat="1" x14ac:dyDescent="0.3">
      <c r="B33" s="394">
        <v>42888</v>
      </c>
      <c r="C33" s="395" t="s">
        <v>136</v>
      </c>
      <c r="D33" s="404" t="s">
        <v>77</v>
      </c>
      <c r="E33" s="405">
        <v>-13673</v>
      </c>
      <c r="F33" s="398" t="s">
        <v>127</v>
      </c>
      <c r="H33" s="404"/>
      <c r="I33" s="400"/>
      <c r="J33" s="405"/>
      <c r="K33" s="401"/>
    </row>
    <row r="34" spans="2:11" s="71" customFormat="1" x14ac:dyDescent="0.3">
      <c r="B34" s="394">
        <v>42888</v>
      </c>
      <c r="C34" s="395" t="s">
        <v>123</v>
      </c>
      <c r="D34" s="402" t="s">
        <v>122</v>
      </c>
      <c r="E34" s="405">
        <v>400</v>
      </c>
      <c r="F34" s="398" t="s">
        <v>201</v>
      </c>
      <c r="H34" s="402"/>
      <c r="I34" s="400"/>
      <c r="J34" s="405"/>
      <c r="K34" s="401"/>
    </row>
    <row r="35" spans="2:11" s="71" customFormat="1" x14ac:dyDescent="0.3">
      <c r="B35" s="394">
        <v>42891</v>
      </c>
      <c r="C35" s="395" t="s">
        <v>137</v>
      </c>
      <c r="D35" s="404" t="s">
        <v>129</v>
      </c>
      <c r="E35" s="405">
        <v>-557.25</v>
      </c>
      <c r="F35" s="398" t="s">
        <v>215</v>
      </c>
      <c r="H35" s="404"/>
      <c r="I35" s="400"/>
      <c r="J35" s="405"/>
      <c r="K35" s="401"/>
    </row>
    <row r="36" spans="2:11" s="71" customFormat="1" x14ac:dyDescent="0.3">
      <c r="B36" s="394">
        <v>42901</v>
      </c>
      <c r="C36" s="395" t="s">
        <v>116</v>
      </c>
      <c r="D36" s="402" t="s">
        <v>138</v>
      </c>
      <c r="E36" s="405">
        <v>-185.18</v>
      </c>
      <c r="F36" s="398" t="s">
        <v>139</v>
      </c>
      <c r="H36" s="402"/>
      <c r="I36" s="400"/>
      <c r="J36" s="405"/>
      <c r="K36" s="401"/>
    </row>
    <row r="37" spans="2:11" s="71" customFormat="1" x14ac:dyDescent="0.3">
      <c r="B37" s="394">
        <v>42901</v>
      </c>
      <c r="C37" s="395" t="s">
        <v>140</v>
      </c>
      <c r="D37" s="404" t="s">
        <v>63</v>
      </c>
      <c r="E37" s="405">
        <v>-270</v>
      </c>
      <c r="F37" s="398" t="s">
        <v>214</v>
      </c>
      <c r="H37" s="404"/>
      <c r="I37" s="400"/>
      <c r="J37" s="405"/>
      <c r="K37" s="401"/>
    </row>
    <row r="38" spans="2:11" s="71" customFormat="1" x14ac:dyDescent="0.3">
      <c r="B38" s="394">
        <v>42901</v>
      </c>
      <c r="C38" s="395" t="s">
        <v>116</v>
      </c>
      <c r="D38" s="402" t="s">
        <v>141</v>
      </c>
      <c r="E38" s="405">
        <v>-85.96</v>
      </c>
      <c r="F38" s="398" t="s">
        <v>139</v>
      </c>
      <c r="H38" s="402"/>
      <c r="I38" s="400"/>
      <c r="J38" s="405"/>
      <c r="K38" s="401"/>
    </row>
    <row r="39" spans="2:11" s="71" customFormat="1" x14ac:dyDescent="0.3">
      <c r="B39" s="394">
        <v>42902</v>
      </c>
      <c r="C39" s="395" t="s">
        <v>142</v>
      </c>
      <c r="D39" s="404" t="s">
        <v>63</v>
      </c>
      <c r="E39" s="405">
        <v>-135</v>
      </c>
      <c r="F39" s="398" t="s">
        <v>217</v>
      </c>
      <c r="H39" s="404"/>
      <c r="I39" s="400"/>
      <c r="J39" s="405"/>
      <c r="K39" s="401"/>
    </row>
    <row r="40" spans="2:11" s="71" customFormat="1" x14ac:dyDescent="0.3">
      <c r="B40" s="394">
        <v>42905</v>
      </c>
      <c r="C40" s="395" t="s">
        <v>143</v>
      </c>
      <c r="D40" s="404" t="s">
        <v>144</v>
      </c>
      <c r="E40" s="405">
        <v>-14404.17</v>
      </c>
      <c r="F40" s="406" t="s">
        <v>218</v>
      </c>
      <c r="H40" s="404"/>
      <c r="I40" s="400"/>
      <c r="J40" s="405"/>
      <c r="K40" s="401"/>
    </row>
    <row r="41" spans="2:11" s="71" customFormat="1" x14ac:dyDescent="0.3">
      <c r="B41" s="394">
        <v>42905</v>
      </c>
      <c r="C41" s="395" t="s">
        <v>145</v>
      </c>
      <c r="D41" s="404" t="s">
        <v>146</v>
      </c>
      <c r="E41" s="405">
        <v>-190.04</v>
      </c>
      <c r="F41" s="398" t="s">
        <v>219</v>
      </c>
      <c r="H41" s="404"/>
      <c r="I41" s="400"/>
      <c r="J41" s="405"/>
      <c r="K41" s="401"/>
    </row>
    <row r="42" spans="2:11" s="71" customFormat="1" x14ac:dyDescent="0.3">
      <c r="B42" s="394">
        <v>42905</v>
      </c>
      <c r="C42" s="395" t="s">
        <v>147</v>
      </c>
      <c r="D42" s="404" t="s">
        <v>148</v>
      </c>
      <c r="E42" s="405">
        <v>-13.47</v>
      </c>
      <c r="F42" s="398" t="s">
        <v>203</v>
      </c>
      <c r="H42" s="404"/>
      <c r="I42" s="400"/>
      <c r="J42" s="405"/>
      <c r="K42" s="401"/>
    </row>
    <row r="43" spans="2:11" s="71" customFormat="1" x14ac:dyDescent="0.3">
      <c r="B43" s="394">
        <v>42905</v>
      </c>
      <c r="C43" s="395" t="s">
        <v>116</v>
      </c>
      <c r="D43" s="402" t="s">
        <v>91</v>
      </c>
      <c r="E43" s="405">
        <v>-2500</v>
      </c>
      <c r="F43" s="398" t="s">
        <v>334</v>
      </c>
      <c r="H43" s="402"/>
      <c r="I43" s="400"/>
      <c r="J43" s="405"/>
      <c r="K43" s="401"/>
    </row>
    <row r="44" spans="2:11" s="71" customFormat="1" x14ac:dyDescent="0.3">
      <c r="B44" s="394">
        <v>42905</v>
      </c>
      <c r="C44" s="395" t="s">
        <v>116</v>
      </c>
      <c r="D44" s="402" t="s">
        <v>149</v>
      </c>
      <c r="E44" s="405">
        <v>-65</v>
      </c>
      <c r="F44" s="398" t="s">
        <v>150</v>
      </c>
      <c r="H44" s="402"/>
      <c r="I44" s="400"/>
      <c r="J44" s="405"/>
      <c r="K44" s="401"/>
    </row>
    <row r="45" spans="2:11" s="71" customFormat="1" x14ac:dyDescent="0.3">
      <c r="B45" s="394">
        <v>42905</v>
      </c>
      <c r="C45" s="395" t="s">
        <v>116</v>
      </c>
      <c r="D45" s="402" t="s">
        <v>149</v>
      </c>
      <c r="E45" s="405">
        <v>-130</v>
      </c>
      <c r="F45" s="398" t="s">
        <v>150</v>
      </c>
      <c r="H45" s="402"/>
      <c r="I45" s="400"/>
      <c r="J45" s="405"/>
      <c r="K45" s="401"/>
    </row>
    <row r="46" spans="2:11" s="71" customFormat="1" x14ac:dyDescent="0.3">
      <c r="B46" s="394">
        <v>42906</v>
      </c>
      <c r="C46" s="395" t="s">
        <v>151</v>
      </c>
      <c r="D46" s="404" t="s">
        <v>90</v>
      </c>
      <c r="E46" s="405">
        <v>-950</v>
      </c>
      <c r="F46" s="398" t="s">
        <v>220</v>
      </c>
      <c r="H46" s="404"/>
      <c r="I46" s="400"/>
      <c r="J46" s="405"/>
      <c r="K46" s="401"/>
    </row>
    <row r="47" spans="2:11" s="71" customFormat="1" x14ac:dyDescent="0.3">
      <c r="B47" s="394">
        <v>42906</v>
      </c>
      <c r="C47" s="395" t="s">
        <v>152</v>
      </c>
      <c r="D47" s="404" t="s">
        <v>153</v>
      </c>
      <c r="E47" s="405">
        <v>-729.83</v>
      </c>
      <c r="F47" s="398" t="s">
        <v>214</v>
      </c>
      <c r="H47" s="404"/>
      <c r="I47" s="400"/>
      <c r="J47" s="405"/>
      <c r="K47" s="401"/>
    </row>
    <row r="48" spans="2:11" s="71" customFormat="1" x14ac:dyDescent="0.3">
      <c r="B48" s="394">
        <v>42906</v>
      </c>
      <c r="C48" s="395" t="s">
        <v>154</v>
      </c>
      <c r="D48" s="404" t="s">
        <v>55</v>
      </c>
      <c r="E48" s="405">
        <v>-900</v>
      </c>
      <c r="F48" s="398" t="s">
        <v>211</v>
      </c>
      <c r="H48" s="404"/>
      <c r="I48" s="400"/>
      <c r="J48" s="405"/>
      <c r="K48" s="401"/>
    </row>
    <row r="49" spans="2:11" s="71" customFormat="1" x14ac:dyDescent="0.3">
      <c r="B49" s="394">
        <v>42906</v>
      </c>
      <c r="C49" s="395" t="s">
        <v>155</v>
      </c>
      <c r="D49" s="404" t="s">
        <v>156</v>
      </c>
      <c r="E49" s="405">
        <v>-229.88</v>
      </c>
      <c r="F49" s="398" t="s">
        <v>157</v>
      </c>
      <c r="H49" s="404"/>
      <c r="I49" s="400"/>
      <c r="J49" s="405"/>
      <c r="K49" s="401"/>
    </row>
    <row r="50" spans="2:11" s="71" customFormat="1" x14ac:dyDescent="0.3">
      <c r="B50" s="394">
        <v>42907</v>
      </c>
      <c r="C50" s="395" t="s">
        <v>158</v>
      </c>
      <c r="D50" s="404" t="s">
        <v>159</v>
      </c>
      <c r="E50" s="405">
        <v>-89.98</v>
      </c>
      <c r="F50" s="398" t="s">
        <v>221</v>
      </c>
      <c r="H50" s="404"/>
      <c r="I50" s="400"/>
      <c r="J50" s="405"/>
      <c r="K50" s="401"/>
    </row>
    <row r="51" spans="2:11" s="71" customFormat="1" x14ac:dyDescent="0.3">
      <c r="B51" s="394">
        <v>42908</v>
      </c>
      <c r="C51" s="395" t="s">
        <v>160</v>
      </c>
      <c r="D51" s="404" t="s">
        <v>91</v>
      </c>
      <c r="E51" s="405">
        <v>-77141.47</v>
      </c>
      <c r="F51" s="398" t="s">
        <v>334</v>
      </c>
      <c r="H51" s="404"/>
      <c r="I51" s="400"/>
      <c r="J51" s="405"/>
      <c r="K51" s="401"/>
    </row>
    <row r="52" spans="2:11" s="71" customFormat="1" x14ac:dyDescent="0.3">
      <c r="B52" s="394">
        <v>42908</v>
      </c>
      <c r="C52" s="395" t="s">
        <v>116</v>
      </c>
      <c r="D52" s="402" t="s">
        <v>161</v>
      </c>
      <c r="E52" s="405">
        <v>-540.54999999999995</v>
      </c>
      <c r="F52" s="398" t="s">
        <v>357</v>
      </c>
      <c r="H52" s="402"/>
      <c r="I52" s="400"/>
      <c r="J52" s="405"/>
      <c r="K52" s="401"/>
    </row>
    <row r="53" spans="2:11" s="71" customFormat="1" x14ac:dyDescent="0.3">
      <c r="B53" s="394">
        <v>42909</v>
      </c>
      <c r="C53" s="395" t="s">
        <v>162</v>
      </c>
      <c r="D53" s="404" t="s">
        <v>48</v>
      </c>
      <c r="E53" s="405">
        <v>-54000</v>
      </c>
      <c r="F53" s="398" t="s">
        <v>115</v>
      </c>
      <c r="H53" s="404"/>
      <c r="I53" s="400"/>
      <c r="J53" s="405"/>
      <c r="K53" s="401"/>
    </row>
    <row r="54" spans="2:11" s="71" customFormat="1" x14ac:dyDescent="0.3">
      <c r="B54" s="394">
        <v>42912</v>
      </c>
      <c r="C54" s="395" t="s">
        <v>163</v>
      </c>
      <c r="D54" s="404" t="s">
        <v>96</v>
      </c>
      <c r="E54" s="405">
        <v>-750</v>
      </c>
      <c r="F54" s="398" t="s">
        <v>164</v>
      </c>
      <c r="H54" s="404"/>
      <c r="I54" s="400"/>
      <c r="J54" s="405"/>
      <c r="K54" s="401"/>
    </row>
    <row r="55" spans="2:11" s="71" customFormat="1" x14ac:dyDescent="0.3">
      <c r="B55" s="394">
        <v>42914</v>
      </c>
      <c r="C55" s="395" t="s">
        <v>165</v>
      </c>
      <c r="D55" s="404" t="s">
        <v>92</v>
      </c>
      <c r="E55" s="405">
        <v>-4804.34</v>
      </c>
      <c r="F55" s="398" t="s">
        <v>166</v>
      </c>
      <c r="H55" s="404"/>
      <c r="I55" s="400"/>
      <c r="J55" s="405"/>
      <c r="K55" s="401"/>
    </row>
    <row r="56" spans="2:11" s="71" customFormat="1" x14ac:dyDescent="0.3">
      <c r="B56" s="394">
        <v>42916</v>
      </c>
      <c r="C56" s="395" t="s">
        <v>167</v>
      </c>
      <c r="D56" s="404" t="s">
        <v>129</v>
      </c>
      <c r="E56" s="405">
        <v>-557.25</v>
      </c>
      <c r="F56" s="398" t="s">
        <v>215</v>
      </c>
      <c r="H56" s="404"/>
      <c r="I56" s="400"/>
      <c r="J56" s="405"/>
      <c r="K56" s="401"/>
    </row>
    <row r="57" spans="2:11" s="71" customFormat="1" x14ac:dyDescent="0.3">
      <c r="B57" s="394">
        <v>42919</v>
      </c>
      <c r="C57" s="395" t="s">
        <v>168</v>
      </c>
      <c r="D57" s="407" t="s">
        <v>169</v>
      </c>
      <c r="E57" s="405">
        <v>-1384.2</v>
      </c>
      <c r="F57" s="398" t="s">
        <v>170</v>
      </c>
      <c r="H57" s="407"/>
      <c r="I57" s="400"/>
      <c r="J57" s="405"/>
      <c r="K57" s="401"/>
    </row>
    <row r="58" spans="2:11" s="71" customFormat="1" x14ac:dyDescent="0.3">
      <c r="B58" s="394">
        <v>42926</v>
      </c>
      <c r="C58" s="395" t="s">
        <v>171</v>
      </c>
      <c r="D58" s="407" t="s">
        <v>97</v>
      </c>
      <c r="E58" s="405">
        <v>-45.77</v>
      </c>
      <c r="F58" s="398" t="s">
        <v>225</v>
      </c>
      <c r="H58" s="407"/>
      <c r="I58" s="400"/>
      <c r="J58" s="405"/>
      <c r="K58" s="401"/>
    </row>
    <row r="59" spans="2:11" s="71" customFormat="1" x14ac:dyDescent="0.3">
      <c r="B59" s="394">
        <v>42934</v>
      </c>
      <c r="C59" s="395" t="s">
        <v>172</v>
      </c>
      <c r="D59" s="407" t="s">
        <v>77</v>
      </c>
      <c r="E59" s="405">
        <v>-3847</v>
      </c>
      <c r="F59" s="398" t="s">
        <v>173</v>
      </c>
      <c r="H59" s="407"/>
      <c r="I59" s="400"/>
      <c r="J59" s="405"/>
      <c r="K59" s="401"/>
    </row>
    <row r="60" spans="2:11" s="71" customFormat="1" x14ac:dyDescent="0.3">
      <c r="B60" s="394">
        <v>42937</v>
      </c>
      <c r="C60" s="395" t="s">
        <v>174</v>
      </c>
      <c r="D60" s="407" t="s">
        <v>108</v>
      </c>
      <c r="E60" s="405">
        <v>-129.53</v>
      </c>
      <c r="F60" s="398" t="s">
        <v>358</v>
      </c>
      <c r="H60" s="407"/>
      <c r="I60" s="400"/>
      <c r="J60" s="405"/>
      <c r="K60" s="401"/>
    </row>
    <row r="61" spans="2:11" s="71" customFormat="1" x14ac:dyDescent="0.3">
      <c r="B61" s="394">
        <v>42940</v>
      </c>
      <c r="C61" s="395" t="s">
        <v>175</v>
      </c>
      <c r="D61" s="407" t="s">
        <v>48</v>
      </c>
      <c r="E61" s="405">
        <v>-20822.52</v>
      </c>
      <c r="F61" s="398" t="s">
        <v>115</v>
      </c>
      <c r="H61" s="407"/>
      <c r="I61" s="400"/>
      <c r="J61" s="405"/>
      <c r="K61" s="401"/>
    </row>
    <row r="62" spans="2:11" s="71" customFormat="1" x14ac:dyDescent="0.3">
      <c r="B62" s="394">
        <v>42947</v>
      </c>
      <c r="C62" s="395" t="s">
        <v>176</v>
      </c>
      <c r="D62" s="407" t="s">
        <v>98</v>
      </c>
      <c r="E62" s="405">
        <v>-1368.4</v>
      </c>
      <c r="F62" s="398" t="s">
        <v>222</v>
      </c>
      <c r="H62" s="407"/>
      <c r="I62" s="400"/>
      <c r="J62" s="405"/>
      <c r="K62" s="401"/>
    </row>
    <row r="63" spans="2:11" s="71" customFormat="1" x14ac:dyDescent="0.3">
      <c r="B63" s="394">
        <v>42954</v>
      </c>
      <c r="C63" s="395" t="s">
        <v>177</v>
      </c>
      <c r="D63" s="407" t="s">
        <v>106</v>
      </c>
      <c r="E63" s="405">
        <v>-125.24</v>
      </c>
      <c r="F63" s="398" t="s">
        <v>178</v>
      </c>
      <c r="H63" s="407"/>
      <c r="I63" s="400"/>
      <c r="J63" s="405"/>
      <c r="K63" s="401"/>
    </row>
    <row r="64" spans="2:11" s="71" customFormat="1" x14ac:dyDescent="0.3">
      <c r="B64" s="394">
        <v>42969</v>
      </c>
      <c r="C64" s="395" t="s">
        <v>179</v>
      </c>
      <c r="D64" s="407" t="s">
        <v>180</v>
      </c>
      <c r="E64" s="405">
        <v>-1220</v>
      </c>
      <c r="F64" s="398" t="s">
        <v>223</v>
      </c>
      <c r="H64" s="407"/>
      <c r="I64" s="400"/>
      <c r="J64" s="405"/>
      <c r="K64" s="401"/>
    </row>
    <row r="65" spans="2:11" s="71" customFormat="1" x14ac:dyDescent="0.3">
      <c r="B65" s="394">
        <v>42977</v>
      </c>
      <c r="C65" s="395" t="s">
        <v>181</v>
      </c>
      <c r="D65" s="407" t="s">
        <v>112</v>
      </c>
      <c r="E65" s="405">
        <v>-237.37</v>
      </c>
      <c r="F65" s="398" t="s">
        <v>202</v>
      </c>
      <c r="H65" s="407"/>
      <c r="I65" s="400"/>
      <c r="J65" s="405"/>
      <c r="K65" s="401"/>
    </row>
    <row r="66" spans="2:11" s="71" customFormat="1" x14ac:dyDescent="0.3">
      <c r="B66" s="410">
        <v>42997</v>
      </c>
      <c r="C66" s="411" t="s">
        <v>182</v>
      </c>
      <c r="D66" s="412" t="s">
        <v>77</v>
      </c>
      <c r="E66" s="413">
        <v>-172.34</v>
      </c>
      <c r="F66" s="414" t="s">
        <v>224</v>
      </c>
      <c r="G66" s="103"/>
      <c r="H66" s="408"/>
      <c r="I66" s="409"/>
      <c r="J66" s="45"/>
      <c r="K66" s="401"/>
    </row>
    <row r="67" spans="2:11" ht="13.8" thickBot="1" x14ac:dyDescent="0.3"/>
    <row r="68" spans="2:11" ht="13.8" thickBot="1" x14ac:dyDescent="0.3">
      <c r="D68" s="60" t="s">
        <v>210</v>
      </c>
      <c r="E68" s="61">
        <f>SUM(E20:E66)</f>
        <v>-249350.92999999993</v>
      </c>
    </row>
    <row r="69" spans="2:11" ht="13.8" thickBot="1" x14ac:dyDescent="0.3"/>
    <row r="70" spans="2:11" ht="13.8" thickBot="1" x14ac:dyDescent="0.3">
      <c r="D70" s="10" t="s">
        <v>183</v>
      </c>
      <c r="E70" s="11">
        <f>G16+E68</f>
        <v>15342.160000000091</v>
      </c>
    </row>
    <row r="72" spans="2:11" ht="13.8" thickBot="1" x14ac:dyDescent="0.3"/>
    <row r="73" spans="2:11" ht="13.8" thickBot="1" x14ac:dyDescent="0.3">
      <c r="D73" s="28" t="s">
        <v>184</v>
      </c>
      <c r="E73" s="29"/>
      <c r="F73" s="53" t="s">
        <v>46</v>
      </c>
    </row>
    <row r="74" spans="2:11" x14ac:dyDescent="0.25">
      <c r="D74" s="47"/>
      <c r="E74" s="48"/>
      <c r="F74" s="49"/>
    </row>
    <row r="75" spans="2:11" x14ac:dyDescent="0.25">
      <c r="D75" s="12" t="s">
        <v>185</v>
      </c>
      <c r="E75" s="13"/>
      <c r="F75" s="49">
        <v>20520.36</v>
      </c>
    </row>
    <row r="76" spans="2:11" x14ac:dyDescent="0.25">
      <c r="D76" s="12"/>
      <c r="E76" s="13"/>
      <c r="F76" s="49"/>
    </row>
    <row r="77" spans="2:11" x14ac:dyDescent="0.25">
      <c r="D77" s="12" t="s">
        <v>204</v>
      </c>
      <c r="E77" s="13"/>
      <c r="F77" s="49">
        <v>35862.519999999997</v>
      </c>
    </row>
    <row r="78" spans="2:11" x14ac:dyDescent="0.25">
      <c r="D78" s="12"/>
      <c r="E78" s="13"/>
      <c r="F78" s="49"/>
    </row>
    <row r="79" spans="2:11" x14ac:dyDescent="0.25">
      <c r="D79" s="12" t="s">
        <v>186</v>
      </c>
      <c r="E79" s="13"/>
      <c r="F79" s="49">
        <f>ROUND(F77-F75,2)</f>
        <v>15342.16</v>
      </c>
    </row>
    <row r="80" spans="2:11" x14ac:dyDescent="0.25">
      <c r="D80" s="47"/>
      <c r="E80" s="48"/>
      <c r="F80" s="49"/>
    </row>
    <row r="81" spans="4:6" x14ac:dyDescent="0.25">
      <c r="D81" s="12" t="s">
        <v>205</v>
      </c>
      <c r="E81" s="13"/>
      <c r="F81" s="49">
        <f>ROUND(E70,2)</f>
        <v>15342.16</v>
      </c>
    </row>
    <row r="82" spans="4:6" x14ac:dyDescent="0.25">
      <c r="D82" s="47"/>
      <c r="E82" s="48"/>
      <c r="F82" s="49"/>
    </row>
    <row r="83" spans="4:6" x14ac:dyDescent="0.25">
      <c r="D83" s="12" t="s">
        <v>187</v>
      </c>
      <c r="E83" s="13"/>
      <c r="F83" s="49" t="str">
        <f>IF(F79=F81,"YES","NO")</f>
        <v>YES</v>
      </c>
    </row>
    <row r="84" spans="4:6" ht="13.8" thickBot="1" x14ac:dyDescent="0.3">
      <c r="D84" s="50"/>
      <c r="E84" s="51"/>
      <c r="F84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Reunion Financials</vt:lpstr>
      <vt:lpstr>Rev &amp; Attendance Details</vt:lpstr>
      <vt:lpstr>Expense Details</vt:lpstr>
      <vt:lpstr>Bank Rec</vt:lpstr>
      <vt:lpstr>'Expense Details'!Print_Area</vt:lpstr>
      <vt:lpstr>'Expense Details'!Print_Titles</vt:lpstr>
    </vt:vector>
  </TitlesOfParts>
  <Company>Bloomberg L.P.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newspool</dc:creator>
  <cp:lastModifiedBy>Kyle Huebner</cp:lastModifiedBy>
  <cp:lastPrinted>2017-07-16T20:34:20Z</cp:lastPrinted>
  <dcterms:created xsi:type="dcterms:W3CDTF">2012-11-24T15:29:45Z</dcterms:created>
  <dcterms:modified xsi:type="dcterms:W3CDTF">2017-11-18T15:08:42Z</dcterms:modified>
</cp:coreProperties>
</file>